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-240" windowWidth="14520" windowHeight="12855" activeTab="1"/>
  </bookViews>
  <sheets>
    <sheet name="финансир" sheetId="1" r:id="rId1"/>
    <sheet name="Целевые индикаторы " sheetId="7" r:id="rId2"/>
    <sheet name="план-график" sheetId="10" r:id="rId3"/>
    <sheet name="Целевые индикаторы для Ольги Ви" sheetId="11" state="hidden" r:id="rId4"/>
    <sheet name="Сведения" sheetId="14" state="hidden" r:id="rId5"/>
  </sheets>
  <definedNames>
    <definedName name="_ftn1" localSheetId="0">финансир!$A$17</definedName>
    <definedName name="_ftn2" localSheetId="0">финансир!$A$19</definedName>
    <definedName name="_ftn3" localSheetId="0">финансир!$A$20</definedName>
    <definedName name="_ftn4" localSheetId="0">финансир!$A$21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2">'план-график'!$3:$5</definedName>
    <definedName name="_xlnm.Print_Titles" localSheetId="0">финансир!$7:$7</definedName>
    <definedName name="_xlnm.Print_Titles" localSheetId="1">'Целевые индикаторы '!$5:$6</definedName>
    <definedName name="_xlnm.Print_Area" localSheetId="2">'план-график'!$A$1:$L$167</definedName>
    <definedName name="_xlnm.Print_Area" localSheetId="0">финансир!$A$1:$P$157</definedName>
    <definedName name="_xlnm.Print_Area" localSheetId="1">'Целевые индикаторы '!$A$1:$G$39</definedName>
    <definedName name="_xlnm.Print_Area" localSheetId="3">'Целевые индикаторы для Ольги Ви'!$A$2:$G$136</definedName>
  </definedNames>
  <calcPr calcId="145621"/>
</workbook>
</file>

<file path=xl/calcChain.xml><?xml version="1.0" encoding="utf-8"?>
<calcChain xmlns="http://schemas.openxmlformats.org/spreadsheetml/2006/main">
  <c r="E36" i="7" l="1"/>
  <c r="E37" i="7"/>
  <c r="E38" i="7"/>
  <c r="E39" i="7"/>
  <c r="D39" i="7"/>
  <c r="D38" i="7"/>
  <c r="D37" i="7"/>
  <c r="D36" i="7"/>
  <c r="E29" i="7"/>
  <c r="D29" i="7"/>
  <c r="E24" i="7"/>
  <c r="D24" i="7"/>
  <c r="E23" i="7"/>
  <c r="D23" i="7"/>
  <c r="E22" i="7" l="1"/>
  <c r="D22" i="7"/>
  <c r="E21" i="7"/>
  <c r="F19" i="7"/>
  <c r="D21" i="7"/>
  <c r="E17" i="7"/>
  <c r="D17" i="7"/>
  <c r="E16" i="7"/>
  <c r="D16" i="7"/>
  <c r="M167" i="10" l="1"/>
  <c r="I123" i="10"/>
  <c r="I127" i="10"/>
  <c r="I125" i="10"/>
  <c r="I124" i="10"/>
  <c r="I117" i="10"/>
  <c r="I153" i="10"/>
  <c r="I150" i="10"/>
  <c r="I149" i="10"/>
  <c r="M114" i="10" l="1"/>
  <c r="M115" i="10"/>
  <c r="M117" i="10"/>
  <c r="M118" i="10"/>
  <c r="M111" i="10"/>
  <c r="M112" i="10"/>
  <c r="M113" i="10"/>
  <c r="M107" i="10"/>
  <c r="M108" i="10"/>
  <c r="M109" i="10"/>
  <c r="M110" i="10"/>
  <c r="M102" i="10"/>
  <c r="M103" i="10"/>
  <c r="M104" i="10"/>
  <c r="M105" i="10"/>
  <c r="M106" i="10"/>
  <c r="M98" i="10"/>
  <c r="M99" i="10"/>
  <c r="M100" i="10"/>
  <c r="M101" i="10"/>
  <c r="M94" i="10"/>
  <c r="M95" i="10"/>
  <c r="M96" i="10"/>
  <c r="M91" i="10"/>
  <c r="M92" i="10"/>
  <c r="M93" i="10"/>
  <c r="M87" i="10"/>
  <c r="M88" i="10"/>
  <c r="M89" i="10"/>
  <c r="M90" i="10"/>
  <c r="M83" i="10"/>
  <c r="M84" i="10"/>
  <c r="M85" i="10"/>
  <c r="M86" i="10"/>
  <c r="M82" i="10"/>
  <c r="M79" i="10"/>
  <c r="M80" i="10"/>
  <c r="M76" i="10"/>
  <c r="M77" i="10"/>
  <c r="M78" i="10"/>
  <c r="M72" i="10"/>
  <c r="M73" i="10"/>
  <c r="M74" i="10"/>
  <c r="M75" i="10"/>
  <c r="M69" i="10"/>
  <c r="M70" i="10"/>
  <c r="M71" i="10"/>
  <c r="M66" i="10"/>
  <c r="M67" i="10"/>
  <c r="M68" i="10"/>
  <c r="M60" i="10"/>
  <c r="M61" i="10"/>
  <c r="M62" i="10"/>
  <c r="M63" i="10"/>
  <c r="M64" i="10"/>
  <c r="M65" i="10"/>
  <c r="M59" i="10"/>
  <c r="M55" i="10"/>
  <c r="M56" i="10"/>
  <c r="M57" i="10"/>
  <c r="M58" i="10"/>
  <c r="M52" i="10"/>
  <c r="M53" i="10"/>
  <c r="M54" i="10"/>
  <c r="M48" i="10"/>
  <c r="M49" i="10"/>
  <c r="M50" i="10"/>
  <c r="M51" i="10"/>
  <c r="M46" i="10"/>
  <c r="M47" i="10"/>
  <c r="M45" i="10"/>
  <c r="M43" i="10"/>
  <c r="M44" i="10"/>
  <c r="M41" i="10"/>
  <c r="M42" i="10"/>
  <c r="M39" i="10"/>
  <c r="M40" i="10"/>
  <c r="M37" i="10"/>
  <c r="M38" i="10"/>
  <c r="M34" i="10"/>
  <c r="M35" i="10"/>
  <c r="M36" i="10"/>
  <c r="M32" i="10"/>
  <c r="M33" i="10"/>
  <c r="M30" i="10"/>
  <c r="M31" i="10"/>
  <c r="M29" i="10"/>
  <c r="M28" i="10"/>
  <c r="M24" i="10"/>
  <c r="M25" i="10"/>
  <c r="M26" i="10"/>
  <c r="M27" i="10"/>
  <c r="M21" i="10"/>
  <c r="M22" i="10"/>
  <c r="M23" i="10"/>
  <c r="M17" i="10"/>
  <c r="M18" i="10"/>
  <c r="M19" i="10"/>
  <c r="M20" i="10"/>
  <c r="M14" i="10"/>
  <c r="M15" i="10"/>
  <c r="M16" i="10"/>
  <c r="M13" i="10"/>
  <c r="M11" i="10"/>
  <c r="M12" i="10"/>
  <c r="M9" i="10"/>
  <c r="M10" i="10"/>
  <c r="M8" i="10"/>
  <c r="M158" i="10"/>
  <c r="Q150" i="1" l="1"/>
  <c r="Q146" i="1"/>
  <c r="I158" i="10" l="1"/>
  <c r="H158" i="10"/>
  <c r="H156" i="10"/>
  <c r="H154" i="10"/>
  <c r="H152" i="10"/>
  <c r="H151" i="10"/>
  <c r="L148" i="10"/>
  <c r="K148" i="10"/>
  <c r="J148" i="10"/>
  <c r="L134" i="10"/>
  <c r="K134" i="10"/>
  <c r="H129" i="10"/>
  <c r="H125" i="10"/>
  <c r="H124" i="10"/>
  <c r="H111" i="10"/>
  <c r="L96" i="10"/>
  <c r="K96" i="10"/>
  <c r="J96" i="10"/>
  <c r="H93" i="10"/>
  <c r="H92" i="10"/>
  <c r="H91" i="10"/>
  <c r="H89" i="10"/>
  <c r="H88" i="10"/>
  <c r="H85" i="10"/>
  <c r="H84" i="10"/>
  <c r="H83" i="10"/>
  <c r="H82" i="10"/>
  <c r="H81" i="10"/>
  <c r="H80" i="10"/>
  <c r="H79" i="10"/>
  <c r="H77" i="10"/>
  <c r="H76" i="10"/>
  <c r="H75" i="10"/>
  <c r="H72" i="10"/>
  <c r="H71" i="10"/>
  <c r="H70" i="10"/>
  <c r="H69" i="10"/>
  <c r="L66" i="10"/>
  <c r="K66" i="10"/>
  <c r="J66" i="10"/>
  <c r="H56" i="10"/>
  <c r="H54" i="10"/>
  <c r="H53" i="10"/>
  <c r="H52" i="10"/>
  <c r="H51" i="10"/>
  <c r="H50" i="10"/>
  <c r="H47" i="10"/>
  <c r="H45" i="10"/>
  <c r="H44" i="10"/>
  <c r="H43" i="10"/>
  <c r="H42" i="10"/>
  <c r="H41" i="10"/>
  <c r="H39" i="10"/>
  <c r="H37" i="10"/>
  <c r="H36" i="10"/>
  <c r="H35" i="10"/>
  <c r="H34" i="10"/>
  <c r="H33" i="10"/>
  <c r="H32" i="10"/>
  <c r="H30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L132" i="10"/>
  <c r="K132" i="10"/>
  <c r="J132" i="10"/>
  <c r="F20" i="7"/>
  <c r="F35" i="7"/>
  <c r="F34" i="7"/>
  <c r="M159" i="1"/>
  <c r="M158" i="1"/>
  <c r="M140" i="1"/>
  <c r="M145" i="1" l="1"/>
  <c r="I145" i="1"/>
  <c r="M123" i="1"/>
  <c r="L123" i="1"/>
  <c r="H123" i="1"/>
  <c r="M98" i="1" l="1"/>
  <c r="M118" i="1"/>
  <c r="M116" i="1"/>
  <c r="M78" i="1" l="1"/>
  <c r="Q78" i="1"/>
  <c r="H65" i="1"/>
  <c r="M49" i="1"/>
  <c r="L144" i="1" l="1"/>
  <c r="H144" i="1"/>
  <c r="D144" i="1"/>
  <c r="E123" i="1"/>
  <c r="F10" i="7" l="1"/>
  <c r="Q127" i="1" l="1"/>
  <c r="K65" i="10" l="1"/>
  <c r="J136" i="10" l="1"/>
  <c r="J135" i="10"/>
  <c r="J134" i="10"/>
  <c r="J133" i="10"/>
  <c r="J131" i="10"/>
  <c r="J65" i="10" l="1"/>
  <c r="J64" i="10"/>
  <c r="J63" i="10"/>
  <c r="J95" i="10"/>
  <c r="J121" i="10"/>
  <c r="J120" i="10"/>
  <c r="J119" i="10"/>
  <c r="J147" i="10"/>
  <c r="J145" i="10"/>
  <c r="J166" i="10"/>
  <c r="J165" i="10"/>
  <c r="J164" i="10"/>
  <c r="J163" i="10"/>
  <c r="J162" i="10"/>
  <c r="L166" i="10"/>
  <c r="K166" i="10"/>
  <c r="L165" i="10"/>
  <c r="K165" i="10"/>
  <c r="L164" i="10"/>
  <c r="K164" i="10"/>
  <c r="L163" i="10"/>
  <c r="K163" i="10"/>
  <c r="L162" i="10"/>
  <c r="K162" i="10"/>
  <c r="L147" i="10"/>
  <c r="K147" i="10"/>
  <c r="L145" i="10"/>
  <c r="K145" i="10"/>
  <c r="K136" i="10"/>
  <c r="K135" i="10"/>
  <c r="K133" i="10"/>
  <c r="L131" i="10"/>
  <c r="K131" i="10"/>
  <c r="L121" i="10"/>
  <c r="K121" i="10"/>
  <c r="L120" i="10"/>
  <c r="K120" i="10"/>
  <c r="L119" i="10"/>
  <c r="K119" i="10"/>
  <c r="L95" i="10"/>
  <c r="K95" i="10"/>
  <c r="L65" i="10"/>
  <c r="L64" i="10"/>
  <c r="K64" i="10"/>
  <c r="L63" i="10"/>
  <c r="K63" i="10"/>
  <c r="F15" i="7"/>
  <c r="F13" i="7"/>
  <c r="F8" i="7"/>
  <c r="I160" i="10"/>
  <c r="I159" i="10" s="1"/>
  <c r="I157" i="10"/>
  <c r="I156" i="10"/>
  <c r="I155" i="10"/>
  <c r="I154" i="10"/>
  <c r="I152" i="10"/>
  <c r="I151" i="10"/>
  <c r="H123" i="10"/>
  <c r="I113" i="10"/>
  <c r="I61" i="10"/>
  <c r="I57" i="10"/>
  <c r="I56" i="10"/>
  <c r="I54" i="10"/>
  <c r="I53" i="10"/>
  <c r="I52" i="10"/>
  <c r="I51" i="10"/>
  <c r="I50" i="10"/>
  <c r="I49" i="10"/>
  <c r="I48" i="10"/>
  <c r="I47" i="10"/>
  <c r="M153" i="1"/>
  <c r="L153" i="1"/>
  <c r="I153" i="1"/>
  <c r="H153" i="1"/>
  <c r="E153" i="1"/>
  <c r="D153" i="1"/>
  <c r="M147" i="1"/>
  <c r="M144" i="1" s="1"/>
  <c r="L147" i="1"/>
  <c r="I147" i="1"/>
  <c r="I144" i="1" s="1"/>
  <c r="H147" i="1"/>
  <c r="E147" i="1"/>
  <c r="E144" i="1" s="1"/>
  <c r="D147" i="1"/>
  <c r="E138" i="1"/>
  <c r="D126" i="1"/>
  <c r="M113" i="1"/>
  <c r="L113" i="1"/>
  <c r="I113" i="1"/>
  <c r="H113" i="1"/>
  <c r="D113" i="1"/>
  <c r="E113" i="1"/>
  <c r="M96" i="1" l="1"/>
  <c r="L96" i="1"/>
  <c r="I96" i="1"/>
  <c r="H96" i="1"/>
  <c r="E96" i="1"/>
  <c r="D96" i="1"/>
  <c r="D111" i="1"/>
  <c r="M119" i="1"/>
  <c r="L119" i="1"/>
  <c r="I119" i="1"/>
  <c r="H119" i="1"/>
  <c r="E119" i="1"/>
  <c r="D119" i="1"/>
  <c r="E60" i="1"/>
  <c r="M57" i="1"/>
  <c r="L57" i="1"/>
  <c r="I57" i="1"/>
  <c r="H57" i="1"/>
  <c r="E57" i="1"/>
  <c r="D57" i="1"/>
  <c r="M9" i="1"/>
  <c r="I9" i="1"/>
  <c r="D9" i="1"/>
  <c r="L9" i="1"/>
  <c r="H9" i="1"/>
  <c r="E9" i="1"/>
  <c r="H7" i="10" l="1"/>
  <c r="H159" i="10"/>
  <c r="H153" i="10"/>
  <c r="I101" i="10"/>
  <c r="H99" i="10"/>
  <c r="H102" i="10"/>
  <c r="H116" i="10"/>
  <c r="H114" i="10"/>
  <c r="H108" i="10"/>
  <c r="H55" i="10" l="1"/>
  <c r="I128" i="10" l="1"/>
  <c r="G136" i="11"/>
  <c r="E136" i="11"/>
  <c r="C136" i="11"/>
  <c r="G135" i="11"/>
  <c r="E135" i="11"/>
  <c r="D135" i="11"/>
  <c r="C135" i="11"/>
  <c r="G134" i="11"/>
  <c r="E134" i="11"/>
  <c r="D134" i="11"/>
  <c r="C134" i="11"/>
  <c r="G133" i="11"/>
  <c r="E133" i="11"/>
  <c r="C133" i="11"/>
  <c r="F128" i="11"/>
  <c r="G123" i="11"/>
  <c r="E123" i="11"/>
  <c r="F123" i="11" s="1"/>
  <c r="G122" i="11"/>
  <c r="E122" i="11"/>
  <c r="F122" i="11" s="1"/>
  <c r="G115" i="11"/>
  <c r="E115" i="11"/>
  <c r="G114" i="11"/>
  <c r="E114" i="11"/>
  <c r="E113" i="11"/>
  <c r="F113" i="11" s="1"/>
  <c r="E112" i="11"/>
  <c r="F112" i="11" s="1"/>
  <c r="E111" i="11"/>
  <c r="F111" i="11" s="1"/>
  <c r="G106" i="11"/>
  <c r="E106" i="11"/>
  <c r="F106" i="11" s="1"/>
  <c r="G105" i="11"/>
  <c r="E105" i="11"/>
  <c r="F105" i="11" s="1"/>
  <c r="F100" i="11"/>
  <c r="F98" i="11"/>
  <c r="F89" i="11"/>
  <c r="G84" i="11"/>
  <c r="E84" i="11"/>
  <c r="F84" i="11" s="1"/>
  <c r="F55" i="11"/>
  <c r="F11" i="11"/>
  <c r="F10" i="11"/>
  <c r="I17" i="10"/>
  <c r="I18" i="10"/>
  <c r="I10" i="10"/>
  <c r="I11" i="10"/>
  <c r="F30" i="7"/>
  <c r="F29" i="7"/>
  <c r="F24" i="7"/>
  <c r="F23" i="7"/>
  <c r="F22" i="7"/>
  <c r="F21" i="7"/>
  <c r="C39" i="7"/>
  <c r="C38" i="7"/>
  <c r="C37" i="7"/>
  <c r="C36" i="7"/>
  <c r="I142" i="10"/>
  <c r="I129" i="10"/>
  <c r="I126" i="10"/>
  <c r="I116" i="10"/>
  <c r="M116" i="10" s="1"/>
  <c r="I115" i="10"/>
  <c r="I114" i="10" s="1"/>
  <c r="I112" i="10"/>
  <c r="I111" i="10"/>
  <c r="I110" i="10"/>
  <c r="I109" i="10"/>
  <c r="I107" i="10"/>
  <c r="I103" i="10"/>
  <c r="I102" i="10" s="1"/>
  <c r="I100" i="10"/>
  <c r="I99" i="10" s="1"/>
  <c r="I84" i="10"/>
  <c r="I59" i="10"/>
  <c r="I156" i="1"/>
  <c r="M111" i="1"/>
  <c r="I60" i="10"/>
  <c r="H60" i="1"/>
  <c r="H64" i="1" s="1"/>
  <c r="H133" i="1"/>
  <c r="H138" i="1"/>
  <c r="H142" i="1" s="1"/>
  <c r="I143" i="10"/>
  <c r="I141" i="10"/>
  <c r="I93" i="10"/>
  <c r="I92" i="10"/>
  <c r="I91" i="10"/>
  <c r="I90" i="10"/>
  <c r="I89" i="10"/>
  <c r="I88" i="10"/>
  <c r="I87" i="10"/>
  <c r="I86" i="10"/>
  <c r="I85" i="10"/>
  <c r="I83" i="10"/>
  <c r="I82" i="10"/>
  <c r="I81" i="10"/>
  <c r="M81" i="10" s="1"/>
  <c r="I80" i="10"/>
  <c r="I79" i="10"/>
  <c r="I78" i="10"/>
  <c r="I77" i="10"/>
  <c r="I76" i="10"/>
  <c r="I75" i="10"/>
  <c r="I74" i="10"/>
  <c r="I73" i="10"/>
  <c r="I72" i="10"/>
  <c r="I71" i="10"/>
  <c r="I70" i="10"/>
  <c r="I69" i="10"/>
  <c r="H150" i="10"/>
  <c r="H149" i="10" s="1"/>
  <c r="L155" i="1"/>
  <c r="D155" i="1"/>
  <c r="I138" i="1"/>
  <c r="I142" i="1" s="1"/>
  <c r="M138" i="1"/>
  <c r="M142" i="1" s="1"/>
  <c r="L138" i="1"/>
  <c r="L142" i="1" s="1"/>
  <c r="E142" i="1"/>
  <c r="D138" i="1"/>
  <c r="D142" i="1" s="1"/>
  <c r="I133" i="1"/>
  <c r="M133" i="1"/>
  <c r="L133" i="1"/>
  <c r="E133" i="1"/>
  <c r="D133" i="1"/>
  <c r="D136" i="1" s="1"/>
  <c r="L126" i="1"/>
  <c r="E126" i="1"/>
  <c r="M121" i="1"/>
  <c r="L121" i="1"/>
  <c r="I121" i="1"/>
  <c r="I123" i="1" s="1"/>
  <c r="Q123" i="1" s="1"/>
  <c r="H121" i="1"/>
  <c r="E121" i="1"/>
  <c r="D121" i="1"/>
  <c r="L111" i="1"/>
  <c r="H111" i="1"/>
  <c r="E111" i="1"/>
  <c r="M109" i="1"/>
  <c r="L109" i="1"/>
  <c r="I109" i="1"/>
  <c r="H109" i="1"/>
  <c r="E109" i="1"/>
  <c r="D109" i="1"/>
  <c r="M106" i="1"/>
  <c r="M105" i="1" s="1"/>
  <c r="I106" i="1"/>
  <c r="I105" i="1"/>
  <c r="E106" i="1"/>
  <c r="E105" i="1" s="1"/>
  <c r="I67" i="1"/>
  <c r="I93" i="1" s="1"/>
  <c r="M67" i="1"/>
  <c r="M93" i="1" s="1"/>
  <c r="L67" i="1"/>
  <c r="L93" i="1" s="1"/>
  <c r="E67" i="1"/>
  <c r="E93" i="1" s="1"/>
  <c r="D67" i="1"/>
  <c r="D93" i="1" s="1"/>
  <c r="I60" i="1"/>
  <c r="M60" i="1"/>
  <c r="L60" i="1"/>
  <c r="D60" i="1"/>
  <c r="M156" i="1"/>
  <c r="H67" i="1"/>
  <c r="H93" i="1" s="1"/>
  <c r="I8" i="10"/>
  <c r="I9" i="10"/>
  <c r="I12" i="10"/>
  <c r="I13" i="10"/>
  <c r="I14" i="10"/>
  <c r="I15" i="10"/>
  <c r="I16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55" i="10"/>
  <c r="M119" i="10"/>
  <c r="M120" i="10"/>
  <c r="M121" i="10"/>
  <c r="M130" i="10"/>
  <c r="M138" i="10"/>
  <c r="M144" i="10"/>
  <c r="M145" i="10"/>
  <c r="M146" i="10"/>
  <c r="M147" i="10"/>
  <c r="M161" i="10"/>
  <c r="M162" i="10"/>
  <c r="F17" i="7"/>
  <c r="F16" i="7"/>
  <c r="I105" i="10"/>
  <c r="I104" i="10"/>
  <c r="F9" i="7"/>
  <c r="I7" i="10" l="1"/>
  <c r="I111" i="1"/>
  <c r="I95" i="1" s="1"/>
  <c r="D95" i="1"/>
  <c r="E136" i="1"/>
  <c r="M155" i="1"/>
  <c r="F37" i="7"/>
  <c r="I108" i="10"/>
  <c r="I106" i="10" s="1"/>
  <c r="I98" i="10" s="1"/>
  <c r="M154" i="10"/>
  <c r="M157" i="10"/>
  <c r="M125" i="10"/>
  <c r="F134" i="11"/>
  <c r="F135" i="11"/>
  <c r="H155" i="1"/>
  <c r="M143" i="10"/>
  <c r="M127" i="10"/>
  <c r="L95" i="1"/>
  <c r="E155" i="1"/>
  <c r="M141" i="10"/>
  <c r="D64" i="1"/>
  <c r="M129" i="10"/>
  <c r="M95" i="1"/>
  <c r="H95" i="1"/>
  <c r="E95" i="1"/>
  <c r="I58" i="10"/>
  <c r="H58" i="10"/>
  <c r="H6" i="10" s="1"/>
  <c r="E64" i="1"/>
  <c r="F38" i="7"/>
  <c r="I140" i="10"/>
  <c r="I139" i="10" s="1"/>
  <c r="H140" i="10"/>
  <c r="H139" i="10" s="1"/>
  <c r="L136" i="1"/>
  <c r="I122" i="10"/>
  <c r="M126" i="1"/>
  <c r="M136" i="1" s="1"/>
  <c r="M126" i="10"/>
  <c r="M128" i="10"/>
  <c r="H122" i="10"/>
  <c r="H106" i="10"/>
  <c r="H126" i="1"/>
  <c r="H136" i="1" s="1"/>
  <c r="M64" i="1"/>
  <c r="I68" i="10"/>
  <c r="M124" i="10"/>
  <c r="M142" i="10"/>
  <c r="L64" i="1"/>
  <c r="I64" i="1"/>
  <c r="I126" i="1"/>
  <c r="I136" i="1" s="1"/>
  <c r="I6" i="10" l="1"/>
  <c r="D123" i="1"/>
  <c r="M159" i="10"/>
  <c r="Q124" i="1"/>
  <c r="I97" i="10"/>
  <c r="H98" i="10"/>
  <c r="H97" i="10" s="1"/>
  <c r="I155" i="1"/>
  <c r="I157" i="1" s="1"/>
  <c r="I159" i="1" s="1"/>
  <c r="M151" i="10"/>
  <c r="E157" i="1"/>
  <c r="M140" i="10"/>
  <c r="M139" i="10"/>
  <c r="M123" i="10"/>
  <c r="L157" i="1"/>
  <c r="M65" i="1"/>
  <c r="M157" i="1"/>
  <c r="H68" i="10"/>
  <c r="H67" i="10" s="1"/>
  <c r="I67" i="10"/>
  <c r="H157" i="1"/>
  <c r="I167" i="10" l="1"/>
  <c r="M97" i="10"/>
  <c r="M150" i="10"/>
  <c r="D157" i="1"/>
  <c r="H167" i="10"/>
  <c r="N68" i="10"/>
  <c r="M122" i="10"/>
  <c r="M149" i="10" l="1"/>
  <c r="F39" i="7"/>
  <c r="D136" i="11"/>
  <c r="F136" i="11" s="1"/>
  <c r="F36" i="7"/>
  <c r="D133" i="11"/>
  <c r="F133" i="11" s="1"/>
  <c r="L133" i="10"/>
  <c r="G111" i="11" s="1"/>
  <c r="L135" i="10"/>
  <c r="G112" i="11" s="1"/>
  <c r="L136" i="10"/>
  <c r="G113" i="11" s="1"/>
</calcChain>
</file>

<file path=xl/sharedStrings.xml><?xml version="1.0" encoding="utf-8"?>
<sst xmlns="http://schemas.openxmlformats.org/spreadsheetml/2006/main" count="1837" uniqueCount="596">
  <si>
    <t>Сведения о достижении целевых показателей Государственной программы</t>
  </si>
  <si>
    <t>Приложение 3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</si>
  <si>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</si>
  <si>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Предоставление ежемесячной денежной выплаты производится на заявительной основе</t>
  </si>
  <si>
    <t>1.11.</t>
  </si>
  <si>
    <t>Приложение  №2</t>
  </si>
  <si>
    <t>Меры социальной поддержки предоставлены 2 человекам, задолженности перед получателями нет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</si>
  <si>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</si>
  <si>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</si>
  <si>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</si>
  <si>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</si>
  <si>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</si>
  <si>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</si>
  <si>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</si>
  <si>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</si>
  <si>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</si>
  <si>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Предоставление мер социальной поддержки  лицам награжденным знаком «Почетный донор СССР» и «Почетный донор России»</t>
  </si>
  <si>
    <t>1.6.</t>
  </si>
  <si>
    <t>1.7.</t>
  </si>
  <si>
    <t>2.1.</t>
  </si>
  <si>
    <t>2.2.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</si>
  <si>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</si>
  <si>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</si>
  <si>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</si>
  <si>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</si>
  <si>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 xml:space="preserve">Ежемесячная выплата на ребенка до достижения им возраста 3 лет  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</si>
  <si>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</si>
  <si>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</si>
  <si>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</si>
  <si>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</si>
  <si>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</si>
  <si>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</si>
  <si>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</si>
  <si>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3.1.1.1.</t>
  </si>
  <si>
    <t>3.1.1.2.</t>
  </si>
  <si>
    <t>3.1.1.3.</t>
  </si>
  <si>
    <t>3.1.1.4.</t>
  </si>
  <si>
    <t>3.1.1.5.</t>
  </si>
  <si>
    <t>3.1.1.9.</t>
  </si>
  <si>
    <t>3.2.</t>
  </si>
  <si>
    <t>3.2.1.1.</t>
  </si>
  <si>
    <t>3.2.1.2.</t>
  </si>
  <si>
    <t>3.4.</t>
  </si>
  <si>
    <t>3.4.1.</t>
  </si>
  <si>
    <t>Информирование населения и работодателей о положении на рынке труда</t>
  </si>
  <si>
    <t xml:space="preserve">Мероприятия в области социального партнёрства 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</si>
  <si>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</si>
  <si>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</si>
  <si>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 xml:space="preserve"> «Обеспечение реализации государственной программы»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</si>
  <si>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</si>
  <si>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</si>
  <si>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</si>
  <si>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</si>
  <si>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</si>
  <si>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</si>
  <si>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</si>
  <si>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</si>
  <si>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</si>
  <si>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</si>
  <si>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</si>
  <si>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>Планируемый объем финансирования, тыс. руб.*</t>
  </si>
  <si>
    <t>Предоставленное финансирование, тыс. руб.**</t>
  </si>
  <si>
    <r>
      <t xml:space="preserve">Средства на социальные выплаты безработным гражданам </t>
    </r>
    <r>
      <rPr>
        <sz val="10"/>
        <color indexed="8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</si>
  <si>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</si>
  <si>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>1.8.</t>
  </si>
  <si>
    <t>Приложение 1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</si>
  <si>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</si>
  <si>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</si>
  <si>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</si>
  <si>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Основное мероприятие "Предоставление мер социальной поддержки"</t>
  </si>
  <si>
    <t>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</si>
  <si>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</si>
  <si>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</si>
  <si>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</si>
  <si>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</si>
  <si>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</si>
  <si>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</si>
  <si>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</si>
  <si>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</si>
  <si>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</si>
  <si>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</si>
  <si>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</si>
  <si>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</si>
  <si>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</si>
  <si>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</si>
  <si>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</si>
  <si>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</si>
  <si>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</si>
  <si>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</si>
  <si>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</si>
  <si>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</si>
  <si>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</si>
  <si>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</si>
  <si>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</si>
  <si>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</si>
  <si>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</si>
  <si>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</si>
  <si>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</si>
  <si>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</si>
  <si>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</si>
  <si>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</si>
  <si>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</si>
  <si>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</si>
  <si>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</si>
  <si>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Предоставление отдельных мер социальной поддержки граждан, подвергшихся воздействию радиации</t>
  </si>
  <si>
    <t>2.</t>
  </si>
  <si>
    <t>Основное мероприятие "Оказание услуг в области социального обслуживания"</t>
  </si>
  <si>
    <t>Основное мероприятие "Адресно целевая поддержка в области социальной защиты населения"</t>
  </si>
  <si>
    <t xml:space="preserve">1.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</si>
  <si>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учреждениях"</t>
  </si>
  <si>
    <t>1.1.1.</t>
  </si>
  <si>
    <t>Х</t>
  </si>
  <si>
    <t>1) прием документов; 2) подготовка распорядительного документа; 3) предоставление выплаты. ежемесячная выплата 2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</si>
  <si>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250  сельским старостам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</si>
  <si>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12 отдельных категорий специалистов </t>
  </si>
  <si>
    <t>По факту бегства отправляется запрос на финансирование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</si>
  <si>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</si>
  <si>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>содержание подведомственных учреждений</t>
  </si>
  <si>
    <t>Выплата премии будет выплачена в декабре</t>
  </si>
  <si>
    <t>уменьшение количкства получателей связано с газификацией отдельных жилых помещений</t>
  </si>
  <si>
    <t>Предоставление отдельным категориям собственников жилых помещений в многоквартирных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многоквартирных домах</t>
  </si>
  <si>
    <t>1.45.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</si>
  <si>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учреждениях"</t>
  </si>
  <si>
    <t>Агентство</t>
  </si>
  <si>
    <t>Предоставление детям-сиротам и детям, оставшимся без попечения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мно-гоквартирных домах</t>
  </si>
  <si>
    <t>1.2.1.1.</t>
  </si>
  <si>
    <t>1.2.1.2.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</si>
  <si>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</si>
  <si>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Реконструкция перехода между спальным и лечебными корпусами с установкой грузопассажирского (больничного) лифта Областного государственного автономного учреждения социального обслуживания «Реабилитационный центр для инвалидов молодого возраста «Сосновый бор» в р.п. Вешкайма»</t>
  </si>
  <si>
    <t>1.2.1.</t>
  </si>
  <si>
    <t>1.3.2.1.</t>
  </si>
  <si>
    <t>1.3.2.2.</t>
  </si>
  <si>
    <t>1.3.2.3.</t>
  </si>
  <si>
    <t>1.3.2.4.</t>
  </si>
  <si>
    <t>1.4.1.</t>
  </si>
  <si>
    <t>"Содействие занятости населения, улучшение условий и охраны труда и здоровья на рабочем месте"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</si>
  <si>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партнёрства"</t>
  </si>
  <si>
    <t>Выплата денежного вознаграждения в рамках реализации постановления Правительства Ульяновской области от 07.11.2014 "О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</si>
  <si>
    <t>Улучшение условий, охраны труда и здоровья на рабочем месте</t>
  </si>
  <si>
    <t>Основное мероприятие "Содействие в трудоустройстве незанятых инвалидов на оборудованные (оснащенные) для них рабочие места"</t>
  </si>
  <si>
    <t>Основное мероприятие "Привлечение соотечественников, проживающих за рубежом, на постоянное место жительство в Ульяновскую область "</t>
  </si>
  <si>
    <t>Предоставление участникам подпрограммы мер поддержки</t>
  </si>
  <si>
    <t xml:space="preserve"> «Обеспечение реализации государственной программы» на 2015-2018 годы</t>
  </si>
  <si>
    <t>Основное мероприятие «Обеспечение деятельности государственного заказчика и соисполнителей государственной программы»</t>
  </si>
  <si>
    <t>Содержание подведомственных  учреждений (содержание и обеспечение деятельности  учреждений социального обслуживания инвалидов, граждан пожилого возраста и иных категорий граждан, детских домов, детских домов-интернатов и социально-реабилитационных центров для несовершеннолетних,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населения)</t>
  </si>
  <si>
    <t>Основное мероприятие "Мероприятия в области энергосбережения и энергоэффективности"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</si>
  <si>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</t>
  </si>
  <si>
    <t>Численность пострадавших в результате несчастных случаев на производстве с утратой трудоспособности на 1 рабочий день и более человек</t>
  </si>
  <si>
    <t xml:space="preserve">Уровень регистрируемой безработицы к численности эко-номически активного населения Ульяновской области, процентов </t>
  </si>
  <si>
    <t xml:space="preserve"> </t>
  </si>
  <si>
    <t>Предоставление детям-сиротам и детям, оставшимся без попе-чения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Ульянов-ской области, ежемесячной компенсации расходов на уплату взноса на капитальный ремонт общего имущества в таких мно-гоквартирных домах</t>
  </si>
  <si>
    <t>Министерство</t>
  </si>
  <si>
    <t>Обращений от граждан не поступало.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</si>
  <si>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</si>
  <si>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</si>
  <si>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</si>
  <si>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</si>
  <si>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</si>
  <si>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</si>
  <si>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</si>
  <si>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</si>
  <si>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</si>
  <si>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</si>
  <si>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</si>
  <si>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</si>
  <si>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</si>
  <si>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</si>
  <si>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</si>
  <si>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</si>
  <si>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</si>
  <si>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</si>
  <si>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</si>
  <si>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</si>
  <si>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</si>
  <si>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</si>
  <si>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</si>
  <si>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</si>
  <si>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</si>
  <si>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</si>
  <si>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</si>
  <si>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</si>
  <si>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</si>
  <si>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</si>
  <si>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</si>
  <si>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</si>
  <si>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</si>
  <si>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</si>
  <si>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</si>
  <si>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</si>
  <si>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</si>
  <si>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</si>
  <si>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</si>
  <si>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Доступная среда</t>
  </si>
  <si>
    <t>4</t>
  </si>
  <si>
    <t>5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</si>
  <si>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</si>
  <si>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</si>
  <si>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</si>
  <si>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</si>
  <si>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</si>
  <si>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</si>
  <si>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</si>
  <si>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</si>
  <si>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</si>
  <si>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</si>
  <si>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</si>
  <si>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</si>
  <si>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</si>
  <si>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</si>
  <si>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</si>
  <si>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</si>
  <si>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</si>
  <si>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</si>
  <si>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</si>
  <si>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</si>
  <si>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</si>
  <si>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</si>
  <si>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</si>
  <si>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</si>
  <si>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</si>
  <si>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</si>
  <si>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</si>
  <si>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</si>
  <si>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</si>
  <si>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</si>
  <si>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</si>
  <si>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</si>
  <si>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</si>
  <si>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</si>
  <si>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</si>
  <si>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</si>
  <si>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</si>
  <si>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</si>
  <si>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</si>
  <si>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</si>
  <si>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</si>
  <si>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</si>
  <si>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</si>
  <si>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</si>
  <si>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</si>
  <si>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</si>
  <si>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</si>
  <si>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</si>
  <si>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</si>
  <si>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1.3.1.</t>
  </si>
  <si>
    <t>1.3.2.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</si>
  <si>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</si>
  <si>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</si>
  <si>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</si>
  <si>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</si>
  <si>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</si>
  <si>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</si>
  <si>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</si>
  <si>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</si>
  <si>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</si>
  <si>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</si>
  <si>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</si>
  <si>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</si>
  <si>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</si>
  <si>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</si>
  <si>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</si>
  <si>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</si>
  <si>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</si>
  <si>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</si>
  <si>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</si>
  <si>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</si>
  <si>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</si>
  <si>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</si>
  <si>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</si>
  <si>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</si>
  <si>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</si>
  <si>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Обеспечение деятельности центрального аппарата и его территориальных органов</t>
  </si>
  <si>
    <t>Количество участников государственной программы и членов их семей, прибывших в Российскую Федерацию и зарегистрированных в территориальных органах Федеральной миграционной службы, человек</t>
  </si>
  <si>
    <t>Доля участников-заявителей подпрограммы в возрасте до 30 лет в общей численности участников подпрограммы (заявителей и членов их семей) трудоспособного возраста, процентов</t>
  </si>
  <si>
    <t>Предоставление субсидий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</t>
  </si>
  <si>
    <t>1.9.</t>
  </si>
  <si>
    <t xml:space="preserve">Реконструкция незавершенного строительстом здания ОГКУСО «Пансионат для граждан пожилого возраста в р.п.Языково» и оснащение его технологическим оборудованием </t>
  </si>
  <si>
    <t>Реализация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</t>
  </si>
  <si>
    <t>1.10.</t>
  </si>
  <si>
    <t>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</si>
  <si>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 кв.</t>
  </si>
  <si>
    <t>4 кв.</t>
  </si>
  <si>
    <t>2 кв.</t>
  </si>
  <si>
    <t>3 кв.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</si>
  <si>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</si>
  <si>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</si>
  <si>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</si>
  <si>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</si>
  <si>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</si>
  <si>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</si>
  <si>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Министерство, Агентство</t>
  </si>
  <si>
    <t>Численность работников, занятых на работах с вредными и (или) опасными условиями труда, тыс. человек</t>
  </si>
  <si>
    <t>Удельный вес работников, занятых на работах с вредными и (или) опасными условиями труда, процентов</t>
  </si>
  <si>
    <t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t>
  </si>
  <si>
    <t>Удельный расход тепловой энергии на 1 кв. метр общей площади помещений, занимаемых подведомственными учреждениями, Гкал / кв. м</t>
  </si>
  <si>
    <t>Удельный расход природного газа на 1 кв. метр общей площади помещений, занимаемых подведомственны-ми учреждениями, тыс. куб. м /кв. м</t>
  </si>
  <si>
    <t>Удельный расход воды на 1 кв. метр общей площади помещений, занимаемых подведомственными учреждениями, тыс. куб. м /кв. м</t>
  </si>
  <si>
    <t xml:space="preserve">Численность получателей государственных услуг в сфере содействия занятости населения, человек </t>
  </si>
  <si>
    <t>Численность работников, прошедших обучение по охране труда в аккредитованных обучающих организациях, человек</t>
  </si>
  <si>
    <t>Количество рабочих мест, на которых проведена специальная оценка условий труда</t>
  </si>
  <si>
    <t>Численность участников подпрограммы и членов их семей,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области, человек</t>
  </si>
  <si>
    <t xml:space="preserve">Предоставление единовременного пособия осуществляется на заявительной основе. </t>
  </si>
  <si>
    <t>Значение целевого индикатора за 2016 год выполнено</t>
  </si>
  <si>
    <t>(получатели являются убывающей категорией льготников)</t>
  </si>
  <si>
    <t>За 2016 год значение целевого индикатора выполнено</t>
  </si>
  <si>
    <t xml:space="preserve">"Социальная поддержка и защита населения Ульяновской области на 2014-2020 годы" </t>
  </si>
  <si>
    <t>за 2016 год</t>
  </si>
  <si>
    <t>4.</t>
  </si>
  <si>
    <t>5.</t>
  </si>
  <si>
    <t>Средства на социальные выплаты безработным гражданам 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</si>
  <si>
    <t xml:space="preserve">Министерство здавоохранения, семьи и социального благополучия Ульянолвской области (далее - Министерство), Адонин Александр Алексеевич, директор департамента методологии и организации социальных выплат и жилищных субсидий </t>
  </si>
  <si>
    <t xml:space="preserve">Министерство, Адонин Александр Алексеевич, директор департамента методологии и организации социальных выплат и жилищных субсидий </t>
  </si>
  <si>
    <t xml:space="preserve">Министерство, Гурьева Наталья Сергеевна, директор департамента семейной, демографической политики и социального благополучия </t>
  </si>
  <si>
    <t>Областное государственное казённое учреждение социального обслуживания "Центр обеспечения граждан техническими средствами реабилитации и санаторно-курортным лечением и социальной адаптации для лиц без определённого места жительства и занятий в г. Ульяновске", Солдатёнков Виктор Анатольевич, директор</t>
  </si>
  <si>
    <t>Министерство,  Клементьева Татьяна Леонидовна, директор департамента бюджетного учёта, отчётности и финаносового обеспечения расходных обязательств</t>
  </si>
  <si>
    <t>Директор департамента семейной, демографической политики и социального благополучия, Гурьева Н.С.</t>
  </si>
  <si>
    <t>Министерство, Гурьева Наталья Сергеевна, директор департамента семейной, демографической политики и социального благополучия, Габбасова Наталья Николаевна, директор департамента охраны прав несовершеннолетних, областное государственное казённое учреждение социального обслуживания "Центр социально-психологической помощи семье и детям "Семья" в г. Ульяновске", Миронова Людмила Анатольевна, директор</t>
  </si>
  <si>
    <t>Агентство по развитию человеческого потенциала и трудовых ресурсов Ульяновской области (далее - Агентство)</t>
  </si>
  <si>
    <t>Министерство, Гурьева Наталья Сергеевна, директор департамента семейной, демографической политики и социального благополучия, Логинов Михаил Васильевич, директор департамента планирования и государственных закупок</t>
  </si>
  <si>
    <t>Министерство промышленности, строительства, жилищно-коммунального комплекса и транспорта Ульяновской области (далее - Министерство строительства)</t>
  </si>
  <si>
    <t>Министерство строительства</t>
  </si>
  <si>
    <t xml:space="preserve">Ульяновское областное государственное казённое  учреждение социальной защиты населения "Единый областной центр социальных выплат", Казаков Владимир Валерьевич, директор </t>
  </si>
  <si>
    <t>Министерство, Логинов Михаил Васильевич, директор департамента планирования и государственных закупок, Клементьева Татьяна Леонидовна, директор департамента бюджетного учёта, отчётности и финаносового обеспечения расходных обязательств</t>
  </si>
  <si>
    <t>Министерство, Габбасова Наталья Николаевна, директор департамента охраны прав несовершеннолетних</t>
  </si>
  <si>
    <t xml:space="preserve">Министерство, Габбасова Наталья Николаевна, директор департамента охраны прав несовершеннолетних, Гурьева Наталья Сергеевна, директор департамента семейной, демографической политики и социального благополучия </t>
  </si>
  <si>
    <t>Агентство, Ковальчук В.И.,референт департамента занятости населения</t>
  </si>
  <si>
    <t>Министерство, Логинов Михаил Васильевич, директор департамента планирования и государственных закупок</t>
  </si>
  <si>
    <t>Ульяновское областное государственное казённое учреждение социальной защиты населения в г. Ульяновске, Волков Валерий Александрович, заместитель директора</t>
  </si>
  <si>
    <t>Министерство здравоохранения, семьи и социального благополучия Ульяновской области (далее - Министерство), Агентство по развитию человеческого потенциала и трудовых ресурсов Ульяновской области (далее - Агентство)</t>
  </si>
  <si>
    <t>Министерство, Министерство строительства</t>
  </si>
  <si>
    <t>Государственная программа Ульяновской области "Социальная поддержка и защита населения Ульяновской области на 2014-2020 годы"</t>
  </si>
  <si>
    <t xml:space="preserve">Предоставление мер социальной поддержки 115207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</si>
  <si>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132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</si>
  <si>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1) прием документов; 2) подготовка распорядительного документа; 3) предоставление выплаты. Выплата пособия по погребению 430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</si>
  <si>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6 гражданам </t>
  </si>
  <si>
    <t>Предоставление мер социальной поддержки 12515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</si>
  <si>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выплатыОказание мер социальной поддержки 91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</si>
  <si>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901 гражданину,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</si>
  <si>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979 чел., страдающих психическими расстройствами, находящихся в трудной жизненной ситуации</t>
  </si>
  <si>
    <t xml:space="preserve">Ежемесячное предоставление материального обеспечения 2 вдов. 1. Ежемесячное формирование выплатных  документов на Сбербанк. </t>
  </si>
  <si>
    <t>1) прием документов; 2) подготовка распорядительного документа; 3) предоставление выплаты. Компенсация перевозчикам 10565 отдельных категорий граждан</t>
  </si>
  <si>
    <t>1) прием документов; 2) подготовка распорядительного документа; 3) предоставление выплаты. Ежемесячная выплата 225  жёнам граждан, уволенных с военной службы</t>
  </si>
  <si>
    <t>1) прием документов; 2) заключение соглашения об информационном взаимодействии с расчетными организациями, имеющими обязатальства перед населением по предосталению коммунальных услуг; 3)  формирование Реестра, содержащего информацию о получателях ежемесячной денежной компенсации на оплату ЖКУ 322766 отдельным категориям граждан 4) зачисление денежных средст расчётным организациям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</si>
  <si>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2705 добровольным пожарным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</si>
  <si>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3220 гражданам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</si>
  <si>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802 гражданам</t>
  </si>
  <si>
    <t>1) прием документов; 2) подготовка распорядительного документа; 3) предоставление выплаты. Компенсационные выплаты 13 гражданам</t>
  </si>
  <si>
    <t>1) прием документов; 2) подготовка распорядительного документа; 3) предоставление выплаты. Ежемесячная выплата 2638 граждан, подвергшихся воздействию радиации</t>
  </si>
  <si>
    <t>1) прием документов; 2) подготовка распорядительного документа; 3) предоставление выплаты. Ежемесячная выплата 10 граждан</t>
  </si>
  <si>
    <t>1. Сбор документов на участие в конкурсе 2. Заключение договора о предоставлении субсидии 3. Предоставление субсидии на оказание социальных услуг на дому 4.Сбор отчётов о расходовании субсидии</t>
  </si>
  <si>
    <t>Организация социальной реабилитации и ресоциализации лиц, потребляющих наркотические средства и психотропные вещества в немедицинских целях, на территории Ульяновской области</t>
  </si>
  <si>
    <t>Министерство, Гурьева Наталья Сергеевна, директор департамента семейной, демографической политики и социального благополучия</t>
  </si>
  <si>
    <t xml:space="preserve">Прием документов, их проверка и включение граждан в список на получение сертификатов. Реализация выданных сертификатов </t>
  </si>
  <si>
    <t>подготовка ТЗ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</si>
  <si>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1 заявителю</t>
  </si>
  <si>
    <t xml:space="preserve">Реализация мер социальной поддержки 36 детей </t>
  </si>
  <si>
    <t>Предоставление мер социальной поддержи 91 семьи, в которых оба родителя являются инвалидами и воспитывают несовершеннолетних детей; 267 семей, в которых единственный родитель инвалид и воспитывает несовершеннолетних детей</t>
  </si>
  <si>
    <t>ежемесячная денежная выплата 250 беременным женщинам и кормящим матерям</t>
  </si>
  <si>
    <t>1) прием документов; 2) подготовка распорядительного документа; 3) предоставление выплаты, по мере требования 7313 поездок</t>
  </si>
  <si>
    <t>Единовременное пособие 12 беременным женам военнослужащих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</si>
  <si>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23955 штук</t>
  </si>
  <si>
    <t>Обучение (профессиональная переподготовка, повышение квалификации) русскому жестовому языку переводчиков в сфере профессиональной коммуникации неслышащих (переводчик жестового языка) и переводчиков в сфере профессиональной коммуникации лиц с нарушениями слуха и зрения (слепоглухих), в том числе тифлокомментаторов, 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</si>
  <si>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</t>
  </si>
  <si>
    <t>Участие сборных команд Ульяновской области в межрегиональных и всероссийских соревнованиях среди инвалидов и других МГН</t>
  </si>
  <si>
    <t>Заключение договоров на перевозку участников соревнований</t>
  </si>
  <si>
    <t>Подготовка ТЗ, проведение конкурсных процедур, заключение договора, проведение зимней спартакиады</t>
  </si>
  <si>
    <t>Областные спортивные соревнования для инвалидов и других МГН</t>
  </si>
  <si>
    <t>1.3.2.5.</t>
  </si>
  <si>
    <t>Проведение совместных мероприятий инвалидов и лиц, не имеющих инвалидности («Парад ангелов»)</t>
  </si>
  <si>
    <t>Агентство, Герасимов Денис Валентинович, руководитель</t>
  </si>
  <si>
    <t>Сохранение в течение 2017 года численности инвалидов, работающих в организациях, которым предоставлена субсидия на возмещение затрат по оплате труда инвалидов, на уровне 2016 года, человек</t>
  </si>
  <si>
    <t>Численность получателей государственных услуг в сфере содействия занятости населения, человек</t>
  </si>
  <si>
    <t>Численность пострадавших в результате несчастных случаев на производстве с утратой трудоспособности на 1 рабочий день и более, человек</t>
  </si>
  <si>
    <t>Количество рабочих мест, на которых проведена специальная оценка условий труда, единиц</t>
  </si>
  <si>
    <t>Показатель подсчитывается территориальным органом статистики 1 раз в год (предварительно в мае)</t>
  </si>
  <si>
    <t>Обеспечение деятельности центрального аппарата  и его территориальных органов, в чати оплаты заработной платы с начислениями, услуг связи, транспортных услуг, информационных усгуг, переподготовки кадров, повышения квалификации, уплаты налогов государственных пошлин и сборов, иных платежей в бюджет, увеличения стоимости основных средств, а также приобретения прочих расходных материалов</t>
  </si>
  <si>
    <t>Содержание подведомственных организаций</t>
  </si>
  <si>
    <t>Организации, подведомственные органу исполнительной власти Ульяновской области, уполномоченному в сфере социального обслуживания и социальной защиты</t>
  </si>
  <si>
    <t xml:space="preserve">Организации, подведомственные органу исполнительной власти Ульяновской области, уполномоченному в сфере занятости </t>
  </si>
  <si>
    <t>1.2.2.</t>
  </si>
  <si>
    <t>Внедрение современных технологий в деятельность государственных организаций системы социальной защиты и социального обслуживания граждан</t>
  </si>
  <si>
    <t>1.46.</t>
  </si>
  <si>
    <t>1, 3 кв.</t>
  </si>
  <si>
    <t>3, 4 кв.</t>
  </si>
  <si>
    <t>2, 4 кв.</t>
  </si>
  <si>
    <t>Проведение совместных мероприятий инвалидов и лиц, не имеющих инвалидности ("Парад ангелов")</t>
  </si>
  <si>
    <t>Мероприятия, предусмотренные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</si>
  <si>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Министерство, Министерство строительства, Агентство</t>
  </si>
  <si>
    <t>Организации, подведомственные органу исполнительной власти Ульяновской области, уполномоченному в сфере занятости</t>
  </si>
  <si>
    <t>Мероприятия в области энергосбережения и энергоэффективности</t>
  </si>
  <si>
    <t>Оснащение реабилитационным оборудованием областных государст-венных учреждений социального обслуживания</t>
  </si>
  <si>
    <t>Основное мероприятие "Обеспече-ние доступности приоритетных объектов и услуг в приоритетных сферах жизнедеятельности инвали-дов и других маломобильных групп населения в областных учрежде-ниях"</t>
  </si>
  <si>
    <t>осуществление выплаты пособий запланировано со 2 квартала 2017 года</t>
  </si>
  <si>
    <t>Работа по информированию населения о программе  запланирована на 2-3 квартал 2017 года</t>
  </si>
  <si>
    <t>В I квартале 2017 года ежемесячную денежную компенсацию на оплату жилого помещения и коммунальных услуг получили 317882 человека</t>
  </si>
  <si>
    <t xml:space="preserve">В связи с внесёнными изменениями в Закон Ульяновской области от 06.10.2011 года № 168-ЗО «О сельских старостах», принятыми законом Ульяновской области от 23.12.2016 № 194-ЗО «О внесении изменений в Закон Ульяновской области «О сельских старостах» и признании утратившим силу отдельного положения законодательного акта Ульяновской области» полномочия исполняет Министерство сельского, лесного хозяйства и природных ресурсов Ульяновской области </t>
  </si>
  <si>
    <t>Оплачены услуги по доставке декабря 2016 года</t>
  </si>
  <si>
    <t>меропритие запланировано на 3 квартал</t>
  </si>
  <si>
    <t xml:space="preserve">Заключен договор с ООО "Дим Принт" на сумму 70,0 тыс. рублей </t>
  </si>
  <si>
    <t>Подготовлены ТЗ, ведётся организационная работа</t>
  </si>
  <si>
    <t>Средства переданы в муниципальные образования на реализацию мероприятий по обеспечению доступности приоритетных объектов. Заключены Соглашения с муниципальными образованиями</t>
  </si>
  <si>
    <t>Подготовка ТЗ, проведение конкурсных процедур на приобретение специализированного автотранспорта ОГКУ для детей-сирот и детей, оставшихся без попечения родителей Майнский специализированный (коррекционный) детский дом для детей с ограниченными возможностями здоровья "Орбита" и ОГАУСО "Дом-интернат для престарелых и инвалидов в г.Димитровграде"</t>
  </si>
  <si>
    <t>Подготовка ТЗ, проведение конкурсных процедур на пробретение реабилитациооного оборудования ОГБУСО "Центр социального обслуживания "Парус надежды" в р.п.Кузоватово"</t>
  </si>
  <si>
    <t>N п/п</t>
  </si>
  <si>
    <t>Реквизиты нормативного правового акта об утверждении (внесении изменений) государственную программу</t>
  </si>
  <si>
    <t>Суть изменений (краткое изложение)</t>
  </si>
  <si>
    <t>Реквизиты акта (документа) об утверждении Плана-графика реализации государственной программы (изменений в него)</t>
  </si>
  <si>
    <t>СВЕДЕНИЯ</t>
  </si>
  <si>
    <t>Приложение №4</t>
  </si>
  <si>
    <t>о внесенных изменениях в государственную программу за I квартал 2017 года</t>
  </si>
  <si>
    <t>Постановление правительства Ульяновской области от 02.02.2017 №2/53-П «О внесении изменений в государственную программу Ульяновской области «Социальная поддержка и защита населения Ульяновской области» на 2014-2020 годы»</t>
  </si>
  <si>
    <t xml:space="preserve">Распоряжение Министерства здравоохранения, семьи и социального благополучия Ульяновской области от 30.12.2016 № 4123-р «Об утверждении Плана-графика по реализации в 2017 году постановления Правительства Ульяновской области от 11.09.2013 № 37/408-П «Об утверждении государственной программы Ульяновской области «Социальная поддержка и защита населения Ульяновской области» на 2014-2020 годы»
</t>
  </si>
  <si>
    <t xml:space="preserve">В связи с вступлением в силу Федерального закона №415-ФЗ от 19.12.2016 года «О федеральном бюджете на 2017 год и на плановый период 2018 и 2019 годов» увеличиваются средства федерального бюджета на сумму 110 395,900 тыс. рублей. 
На основании реестра внесённых изменений в областной бюджет Ульяновской области на 2017 год, утверждённого Губернатором Ульяновской области 16.01.2017 года, выделяются дополнительные средства областного бюджета в сумме 330 156,0 тыс. рублей. 
В связи с принятием Постановления Правительства Ульяновской области от 23.12.2016 № 639-П в части уменьшения числа участников программы «Повышение мобильности трудовых ресурсов Ульяновской области», увеличиваются средства областного бюджета на мероприятия государственной программы в 2017 году в сумме 12 003,4 тыс. рублей с внепрограммной деятельности.
На основании реестра внесённых изменений в областной бюджет Ульяновской области на 2017 год, утверждённого Губернатором Ульяновской области 16.01.2017 года уменьшаются средства областного бюджета в сумме 29 161,3 тыс. рублей. 
Перераспределяются средства областного бюджета:
1. На выполнение нового расходного обязательства – организация социальной реабилитации и ресоциализации лиц, потребляющих наркотические средства и психотропные вещества в немедицинских целях на территории Ульяновской области ежегодно в сумме 2 400,0 тыс. рублей 
2. Приведение в соответствие закона Ульяновской области «Об областном бюджете Ульяновской области на 2017 год и на плановый период 2018 и 2019 годов» по Министерству промышленности, строительства, жилищно-коммунального комплекса и транспорта Ульяновской области по разделу «Социальная политика» с запланированными мероприятиями, сформированными проектом бюджета на 2017-2019 годы.
3.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1 000,0 тыс. рублей.
4. Во исполнение распоряжения Правительства Ульяновской области от 24.04.2015 № 226-пр «О некоторых мерах по повышению качества строительных и ремонтных работ на территории Ульяновской области» предусматривается перераспределение с соисполнителя – Министерство промышленности, строительства, жилищно-коммунального комплекса и транспорта Ульяновской области на Министерство в 2017 год в сумме 3 011,0 тыс. рублей.
5. В связи с завершением строительства ОГКУСО «Пансионата для граждан пожилого возраста в р.п.Языково» перераспределяются средства в 2017 году в сумме 20 900,0 тыс. рублей на реализацию мероприятий социальной программы, направленных на укрепление материально-технической базы организаций социального обслуживания населения, оказанием адресной социальной помощи неработающим пенсионерам, являющихся получателями страховых пенсий по старости и по инвалидности, и обучением компьютерной грамотности неработающих пенсионеров. </t>
  </si>
  <si>
    <t>Возмещение производится на заявительной основе</t>
  </si>
  <si>
    <t>Возмещение производится на заявительной основе и по факту выполненных работ</t>
  </si>
  <si>
    <t>проверить в АЦК т.е. по заявках на оплату по именно</t>
  </si>
  <si>
    <t>Предоставление мер государственной социальной поддержки отдельным категориям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защиты, и проживающих в сельских населенных пунктах, рабочих поселках и поселках городского типа на территории Ульяновской области</t>
  </si>
  <si>
    <t>Минздравсоцблагополучия</t>
  </si>
  <si>
    <t>По состоянию на 01.07.2017 численность безработных граждан, зарегистрированных в государственных учреждениях службы занятости населения, составила 3133 человек. Уровень регистрируемой безработицы составил 0,48%</t>
  </si>
  <si>
    <t>В мероприятии приняло участие 3 предприятия. Численность участников-213 человек. Сложившийся показатель образовался в связи с тем, что работники отсутствовали на своих рабочих местах по причине временой нетрудоспособности или находились в отпусках.</t>
  </si>
  <si>
    <t>Численность участников подпрограммы и членов их семей,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области, единиц</t>
  </si>
  <si>
    <t>Доля участников подпрограммы и членов их семей, не достигших возраста 40 лет, в общей численности участников подпрограммы, процентов</t>
  </si>
  <si>
    <t>Доля участников подпрограммы, имеющих среднее профессиональное либо высшее образование, в общей численности участников подпрограммы, процентов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</si>
  <si>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(далее - МГН) в областных государственных организациях"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</si>
  <si>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партнерства"</t>
  </si>
  <si>
    <t>Основное мероприятие "Привлечение соотечественников, проживающих за рубежом, на постоянное место жительства в Ульяновскую область"</t>
  </si>
  <si>
    <t>Основное мероприятие "Обеспечение деятельности государственного заказчика и соисполнителей государственной программы"</t>
  </si>
  <si>
    <t>Основное мероприятие "Мероприятия в области энергосбережения и повышения энергоэффективности"</t>
  </si>
  <si>
    <t>За I полугодие 2017 года значение целевого индикатора выполнено</t>
  </si>
  <si>
    <t>Значение целевого индикатора за I полугодие 2017 год составило 100% (целевой индикатор выполнен)</t>
  </si>
  <si>
    <t>Значение целевого индикатора за I  полугодие 2017 год составило 100% (целевой индикатор выполнен)</t>
  </si>
  <si>
    <t>Оказание государственной услуги населению 22800 услуг</t>
  </si>
  <si>
    <t>Всего численность получателей госуслуг за 2 квартал 2017 года  составила 39938 гражданин.</t>
  </si>
  <si>
    <t>по факту обращения граждан</t>
  </si>
  <si>
    <t>Организация обучения 140 женщин в период отпуска по уходу за ребёнком до трёх лет</t>
  </si>
  <si>
    <t>Конкурс лучший работодатель года, премия 5 конкурсантам по 50,0 тыс. рублей.</t>
  </si>
  <si>
    <t xml:space="preserve">Заключены договора:                                                                                       №01/17 от 16.01.2017 на поставку сувенирных рамок и  бланков дипломов для проведения конкурса "Лучший работодатель в сфере содействия занятости населения в Ульяновской области" в сумме 750,0 рублей, № 02/17 от 16.01.2017 на поставку сувенирных рамок и бланков дипломов для проведения конкурса "Лучшее учреждение по предоставлению государственных услуг в сфере занятости населения" в сумме 750 рублей,   № 03/17 от 13.02.2017 на поставку букетов цветов и икебаны на проведение конкурса "Лучшее учреждение по предоставлению государственных услуг в сфере занятости населения" в сумме 4396,0,рублей,  № 04/17 от 13.02.2017 на поставку букетов цветов для вручения нараждаемым для проведения конкурса " Лучший работодатель в сфере содействия занятости населения в Ульяновской области" в сумме 2785,0 рублей. В апреле 2017 года произведена выплата денежной премии победителям областного конкурса «Лучшее учреждение по предоставлению государственных услуг в сфере занятости населения» посредством перечисления на счета областных государственных казённых учреждений Центров занятости населения Ульяновской области:
 первое место – ОГКУ ЦЗН  Кузоватовского района – в размере 50000 рублей. второе место – ОГКУ ЦЗН Базарносызганского района – в размере 30000 рублей, третье место – ОГКУ ЦЗН Радищевского района – в размере 20000 рублей.
</t>
  </si>
  <si>
    <t>Обращений не поступало.</t>
  </si>
  <si>
    <t>В период областного месячника охраны труда с 01 по 30 апреля проведено 80 агитационных, пропагандистких, контрольно-надзорных, профилактических меропритий, направленных на сохранение жизни и здоровья трудящихся. Во время проведения месячника распространялись плакаты, листовки, посвящённые Вемирному дню охраны труда. В четвертом квартале 2017 планируется проведение конкурса "Лучший специалист по охране труда".</t>
  </si>
  <si>
    <t>Осуществление социальных выплат гражданам, признанным признанным в установленном порядке безработными - 2264 чел.</t>
  </si>
  <si>
    <t>Выплата пособия во втором квартале 2017 года запланирована 200 гражданам</t>
  </si>
  <si>
    <t>За второй квартал 2017 года выплачено пособий 137 соотечественникам. Невыполнение планового показателя связано с  тем, что граждане не предоставляют полный комлект документ необходимых для осуществления выплаты.</t>
  </si>
  <si>
    <t>Отчёт об исполнении плана -  графика реализации государственной программы  за I полугодие 2017 год</t>
  </si>
  <si>
    <t>Сведения об объёмах финансирования за I полугодие 2017 года</t>
  </si>
  <si>
    <t>Предоставление субсидий  на оплату жилого помещения и коммунальных услуг  28120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</si>
  <si>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Предоставление компенсаций по оплате жилого помещения и коммунальных услуг 6052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</si>
  <si>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территориальными органами, приянтие решения, оформление решения протоколом, подготовка распоряжения на перечисление денежных средств, предоставление  адресной  помощи 1100 семьям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</si>
  <si>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средств. Предоставление социальных контрактов 3746 гражданам</t>
  </si>
  <si>
    <t>1) приём  и проверка документов; 2) получатель берёт направление в организации с которой заключен договор на изготовление изделий; 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1550 лицам, не имеющим инвалидности, но по медицинским показаниям нуждающимся в них</t>
  </si>
  <si>
    <t>Предоставление мер социальной поддержки 99578  ветеранам труда.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</si>
  <si>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выплаты. Предоставление мер социальной поддержки 236  труженикам тыла</t>
  </si>
  <si>
    <t>Предоставление мер социальной поддержки 868  реабилитированным лицам и лицам, пострадавшим от политических репрессий.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</si>
  <si>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Ежемесячное предоставление пенсии за выслугу лет 790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</si>
  <si>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6283 гражданам из числа социально не защищённых категорий </t>
  </si>
  <si>
    <t>1) прием документов; 2) подготовка распорядительного документа; 3) предоставление выплаты. Оказание помощи 3 человекам</t>
  </si>
  <si>
    <t>1) прием документов; 2) подготовка распорядительного документа; 3) предоставление выплаты. оказание мер социальной поддержки 475 гражданам</t>
  </si>
  <si>
    <t>Подготовка ТЗ, проведение конкурсов, заключение контрактов на проведение 12 социально-значимых мероприятий</t>
  </si>
  <si>
    <t>1.Приём документов  2. Формирование выплатных документов . 3. Направление выплатных документов в Сбербанк и Главпочтамт.Ежемесячная денежная выплата 218 ветеранам творческих профессий и ежегодная денежная выплата 98 ветеранам творческих профессий, достигшим 110-летнего возраста</t>
  </si>
  <si>
    <t>1) прием документов; 2) подготовка распорядительного документа; 3) предоставление выплаты. Ежемесячная компенсация 1888 гражданам</t>
  </si>
  <si>
    <t>1) прием документов; 2) подготовка распорядительного документа; 3) предоставление выплаты. Ежемесячная компенсация 470 гражданам</t>
  </si>
  <si>
    <t xml:space="preserve">Прием документов, их проверка и включение граждан в список на получение свидетельств. Реализация выданных 4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</si>
  <si>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94000 гражданам родившихся в период с 01 января 1932 года по 31 декабря 1945 года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</si>
  <si>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38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</si>
  <si>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единовременного пособия 1 работнику противопожарной службы Ульяновской области</t>
  </si>
  <si>
    <t xml:space="preserve">Прием документов, их проверка и включение граждан в список на получение свидетельств. Реализация выданных 17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</si>
  <si>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Предоставление мер социальной поддержки 15 лицам награжденным знаком «Почетный донор СССР» и «Почетный донор России»</t>
  </si>
  <si>
    <t>Предоставление мер социальной поддержки на оплату жилищно-коммунальных услуг 115622 отдельным категориям граждан</t>
  </si>
  <si>
    <t>подготовка ТЗ, проведение конкурсов, заключение контрактов</t>
  </si>
  <si>
    <t>проведение конкурса, заключение контрактов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</si>
  <si>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20292  многодетным семьям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</si>
  <si>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14 усыновлённых детей</t>
  </si>
  <si>
    <t>1) прием документов; 2) подготовка распорядительного документа; 3) предоставление выплаты. Предоставление 134 выплат лицам из числа детей-сирот и детей, оставшихся без попечения родителей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</si>
  <si>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Проведение ремонта жилых помещений 10 детям-сиротам и детям, оставшимся без попечения родителей, лицам из их числа</t>
  </si>
  <si>
    <t>1) прием документов; 2) подготовка распорядительного документа; 3) перечисление денежных средств. Возмещение расходов 28 детям-сиротам и детям, оставшихся без попечения родителей</t>
  </si>
  <si>
    <t>Выплата ежемесячного пособия на 50288 ребёнка гражданам, имеющим детей</t>
  </si>
  <si>
    <t>Реализация мер социальной поддержки детей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 и органов Министерства Российской Федерации по делам гражданской обороны, чрезвычайным ситуациям и ликвидации последствий стихийных бедствий</t>
  </si>
  <si>
    <t>Проверка документов, подготовка распоряжений о выдаче сертификатов, выдача сертификатов.  Подготовка распоряжений о реализация 35 сертификатов</t>
  </si>
  <si>
    <t>Готовится материал о кандидатах для рассмотрения на заседании Совета по реализации приоритетных национальных проектов и семейной политике в Ульяновской области (далее - Совет).Совет в соответствии с регламентом рассматривает представленные материалы для выявления победителей и присуждения премии, выплата 5 ежегодных премий Губернатора Ульяновской области «Семья года»</t>
  </si>
  <si>
    <t xml:space="preserve">1) прием документов; 2) подготовка распорядительного документа; 3) предоставление выплаты. Ежемесячная выплата на 5933 детей до достижения им возраста 3 лет  </t>
  </si>
  <si>
    <t xml:space="preserve">Проверка и включение граждан в список на получение свидетельств. Подготовка распоряжения о выдаче свидетельств, выдача 38 свидетельств о предоставлении единовременных выплат. Реализация выданных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</si>
  <si>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Выплата 813 пособий</t>
  </si>
  <si>
    <t>1) прием документов; 2) подготовка распорядительного документа; 3) перечисление денежных средств. Выплата единовременного пособия 130 получателям</t>
  </si>
  <si>
    <t>1) прием заявок от МО; 2) предоставление субвенций МО; 3) перечисление денежных средств. Осуществление 8637 выплат детям-сиротам и детям, оставшимся без попечения родителей, лицам из их числа</t>
  </si>
  <si>
    <t xml:space="preserve">1) прием заявок от МО; 2) предоставление субвенций МО; 3) перечисление денежных средств. 11522 ежемесячных выплат на содержание ребёнка в семье опекуна (попечителя) и приёмной семье; 7927 выплат вознаграждения, причитающегося приёмному родителю </t>
  </si>
  <si>
    <t>проведение конкурсных процедур</t>
  </si>
  <si>
    <t>Подготовка ТЗ, проведение конкурсных процедур, заключение договора на оказание услуг по проведению мероприятия</t>
  </si>
  <si>
    <t>заключение контракта</t>
  </si>
  <si>
    <t>Выплата денежного вознаграждения в рамках реализации постановления Правительства Ульяновской области от 07.11.2014 № 504-П «О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труда»</t>
  </si>
  <si>
    <t>Изготовление печатной продукции для распространения в период проведения месячника охраны труда</t>
  </si>
  <si>
    <t xml:space="preserve">Министерство, Батраков Дмитрий Владимирович, заместитель директора департамента–начальник отдела планирования и анализа исполнения бюджета </t>
  </si>
  <si>
    <t>Предоставление мер государственной поддержки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</t>
  </si>
  <si>
    <t>Подготовка ТЗ, проведение конкурсных процедур по частичной замене требопроводов ГВС в ОГКУСО "Реабилитац.центр для детей и подростков с огранич.возможн."Подсолнух" в г. Ульяновске", по устройству входной группы в жилой корпусе ОГКУ  "Ивановский спец.(коррек.) дет.дом для детей с огран.возм.здор. им.Героя Советского Союза А.Матросова - Центр патриот.воспитания", на ремонт кровли зданий школы, столовой, сан.узлов складских помещений в ОГКУСО «Социальный приют для детей и подростков «Росток» в д. Рокотушка». Проведение мероприятий по заключенным конрактам (договорам).</t>
  </si>
  <si>
    <t>В I полугодие 2017 года выдано 33 свидетельства, реализовано 19</t>
  </si>
  <si>
    <t>В I полугодии 2017 года ежегодная денежная  выплата представлена 7822 гражданам в полном объёме. Выплата ежегодных денежных выплат производится по факту обращения граждан, имеющих статус Почётного донора. Выплата произведена в полном объеме.</t>
  </si>
  <si>
    <t>В I полугодии 2017 года в полном объёме представлена ежемесячная денежная компенсация 11 гражданам.</t>
  </si>
  <si>
    <t>В I полугодие 2017 года ежемесячная денежная  выплата представлена 146347 человек в полном объёме. Выплата произведена в полном объеме.</t>
  </si>
  <si>
    <t xml:space="preserve">В I полугодие 2017 года меры социальной поддержки представлена 2409 человекам в полном объёме. </t>
  </si>
  <si>
    <t>За I полугодие 2017 года меры социальной поддержки  представлены 2409 чел. в  полном объёме.</t>
  </si>
  <si>
    <t xml:space="preserve">За I полугодие 2017 года количество выплат ежемесячного пособия по уходу за ребёнком составило 47488 шт. Выплата произведена в полном объёме согласно заявок на финансовое обеспечение расходов на выплату государственных пособий  8564 чел. </t>
  </si>
  <si>
    <t>Мера социальной поддержки предоставляются по факту обращения граждан. За I полугодие 2017 года обращений не поступало.</t>
  </si>
  <si>
    <t>Мера социальной поддержки предосавляется по факту обращения граждан. Обращений за I полугодие 2017 года не поступало.</t>
  </si>
  <si>
    <t>В I полугодие 2017 года выплачено 1207 пособий. Задолженности перед получателями нет. Выплата произведена в полном объеме.</t>
  </si>
  <si>
    <t xml:space="preserve">За I квартал 2017 года меры социальной поддержки представлены на 5617 детей. Выплата произведена в полном объёме. </t>
  </si>
  <si>
    <t>За I полугодие 2017 года представлена мера социальной поддержки 5617 человек. Выплата представлена в полном объёме.</t>
  </si>
  <si>
    <t>В I полугодие 2017 года перевозка несовершеннолетних не осуществлялась.</t>
  </si>
  <si>
    <t>В I полугодие 2017 года обращений за данной мерой соц.поддержки не поступало</t>
  </si>
  <si>
    <t>За I полугодие 2017 года переданы субвенции для осуществления деятельности по опеке и попечительству в 23 МО, процент выполнения 100 %</t>
  </si>
  <si>
    <t>В I полугодии 2017 года выдано 9 свидетельств на приобретение жилья государственным гражданским служащим. Свидетельства пока не реализованы.</t>
  </si>
  <si>
    <t>Мероприятия запланированы в третьем и четвёртом кварталах</t>
  </si>
  <si>
    <t xml:space="preserve">Перечислено субсидий за счёт средств областного бюджета Ульяновской области негосударственным организациям, оказывающим социальные услуги в форме социального обслуживания граждан на дому за I полугодие 2017 года на сумму 5 861,0 т.р. тыс. рублей, в том числе:
ООО «Дэйли» - 2 522,4 тыс. рублей;
УРОООО «Российский Красный Крест» - 3 338,6 тыс. рублей.
</t>
  </si>
  <si>
    <t>Проведён квалификационный отбор организаций, предоставляющих на территории Ульяновской области услуги по социальной реабилитации и ресоциализации лиц, признаных больными наркоманией либо потребляющими наркотические средства или психотропные вещества без назначения врача либо новые потенциально опасные психоактивные вещества. ООО "Свобода" включено в региональный реестр организаций, предоставляющих на территории Ульяновской области вышеуказанные услуги. В I полугодии 2017 года выдано 19 сертификатов. Сертификаты пока не реализованы.</t>
  </si>
  <si>
    <t>12.05.2017 г. заключен контракт с ООО "Солнечная долина" на закупку тренажеров на сумму 370 т.р.. Объект завершен реконструкцией</t>
  </si>
  <si>
    <t xml:space="preserve">10.05.2017г. Заключен контракт с  ООО "ВКО" на разработку ПСД на сумму 168,4 тыс. руб. </t>
  </si>
  <si>
    <t>За I полугодие 2017 года значение целевого индикатора перевыполнено</t>
  </si>
  <si>
    <t>Расходы за I полугидие не производились</t>
  </si>
  <si>
    <t>Выплачена премия Губернатора Ульяновской области "СемьяГода" 5 семьям в размере 50,0 тыс.рублей</t>
  </si>
  <si>
    <t>Областным государственным казённым учреждением социального обслуживания "Реабилитац.центр для детей и подростков с огранич.возможн."Подсолнух" в г. Ульяновске" оплачены услуги по составлению и экспертизе сметной документации на сумму 10,0 т.р., работы по оборудованию зоны оказания услуг процедурного кабинета - 99,9 т.р., текущий ремонт наружой вод.сети - 84,7 т.р.</t>
  </si>
  <si>
    <t>мероприятие выполнено</t>
  </si>
  <si>
    <t>Оплата договора в 3 квартале</t>
  </si>
  <si>
    <t>Оплачены расходы, связанные с организацией пассаржских перевозок участников чемпионата России по футзалу среди мужских команд по спорту глухих на сумму 54,2 т.р. Оплачены расходы, связанные с организацией пассажирских перевозок участников Фестиваля по конному спорту для детей с ограниченными возможностями здоровья на сумму 39,2 т.р.</t>
  </si>
  <si>
    <t>мероприятия запланированы также на 3 квартал</t>
  </si>
  <si>
    <t>Оплачены расходы на организацию и проведение областных спортивных соревнований для инвалидов и других МГН на сумму 69,998 тыс. рублей</t>
  </si>
  <si>
    <t>Оплачены расходы, связанные с организацией и проведением совместных мероприятий инвалидов и лиц, не имеющих инвалидности "Парад ангелов" на сумму 150,0 тыс. руб.</t>
  </si>
  <si>
    <t>24.03.2017 года заключен контракт на выполнение проектных работ на сумму 156,0 т.р. Проектно-сметная документация передана на экспертизу.</t>
  </si>
  <si>
    <t>26.05.2017г. Заключен контракт на выполнение работ с ООО "Тех-Инвест-Строй" на сумму 2590,5 тыс. руб.</t>
  </si>
  <si>
    <t>В I полугодии приступили к профессиональному обучению 193 женщины, находящиеся в отпуске по уходу за ребёнком до достижения им возраста трёх лет, что больше запланированного в 1,3 раза.</t>
  </si>
  <si>
    <r>
      <t xml:space="preserve"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первое полугодие 2017 года получили </t>
    </r>
    <r>
      <rPr>
        <b/>
        <sz val="10"/>
        <rFont val="Times New Roman"/>
        <family val="1"/>
        <charset val="204"/>
      </rPr>
      <t>7542</t>
    </r>
    <r>
      <rPr>
        <sz val="10"/>
        <rFont val="Times New Roman"/>
        <family val="1"/>
        <charset val="204"/>
      </rPr>
      <t xml:space="preserve"> человека, в том числе </t>
    </r>
    <r>
      <rPr>
        <b/>
        <sz val="10"/>
        <rFont val="Times New Roman"/>
        <family val="1"/>
        <charset val="204"/>
      </rPr>
      <t>6655</t>
    </r>
    <r>
      <rPr>
        <sz val="10"/>
        <rFont val="Times New Roman"/>
        <family val="1"/>
        <charset val="204"/>
      </rPr>
      <t xml:space="preserve"> человек получили пособие по безработице, </t>
    </r>
    <r>
      <rPr>
        <b/>
        <sz val="10"/>
        <rFont val="Times New Roman"/>
        <family val="1"/>
        <charset val="204"/>
      </rPr>
      <t xml:space="preserve">600 </t>
    </r>
    <r>
      <rPr>
        <sz val="10"/>
        <rFont val="Times New Roman"/>
        <family val="1"/>
        <charset val="204"/>
      </rPr>
      <t xml:space="preserve">человек – стипендию, </t>
    </r>
    <r>
      <rPr>
        <b/>
        <sz val="10"/>
        <rFont val="Times New Roman"/>
        <family val="1"/>
        <charset val="204"/>
      </rPr>
      <t>39</t>
    </r>
    <r>
      <rPr>
        <sz val="10"/>
        <rFont val="Times New Roman"/>
        <family val="1"/>
        <charset val="204"/>
      </rPr>
      <t xml:space="preserve"> человек – материальную помощь, досрочную пенсию – </t>
    </r>
    <r>
      <rPr>
        <b/>
        <sz val="10"/>
        <rFont val="Times New Roman"/>
        <family val="1"/>
        <charset val="204"/>
      </rPr>
      <t xml:space="preserve">248 </t>
    </r>
    <r>
      <rPr>
        <sz val="10"/>
        <rFont val="Times New Roman"/>
        <family val="1"/>
        <charset val="204"/>
      </rPr>
      <t>человек.</t>
    </r>
  </si>
  <si>
    <t>Исполнение по содержанию Департаментов социальной защиты состваляет 57,5% от плана, по Министерству 49,9%. Выплаты заработной платы, начисления на неё произведены в полном объёме. Задолженности нет.</t>
  </si>
  <si>
    <t>Исполнение по содержанию по ОГКУСО состваляет 55,0% от плана, по ОГБУСО - 55,5%, ОГАУСО - 55,3%, по ОГКУСЗН - 65,2%, ОГКОУ - 47,6%. Выплаты заработной платы произведена в полном объёме. Задолженности нет.</t>
  </si>
  <si>
    <t>Исполнение по финансированию аппарата составляет 72,3% от плана. Выплаты заработной платы, начисления на неё произведены в полном объёме. Задолженности нет.</t>
  </si>
  <si>
    <t xml:space="preserve">Исполнение по финансированию ОГКУ ЦЗН составляет 60,9% от плана. Выплаты заработной платы, начисления на неё произведены в полном объёме. </t>
  </si>
  <si>
    <t>Оплата услуг по дароботке и сопрождению  автоматизированной информационной системы территориальных департаментов и учреждений социальной защиты населения ООО "Информационно-технологический центр "Базис" и ООО "АИС Город"  за I полугодие 2017 года на сумму 7 722,3 тыс. рублей</t>
  </si>
  <si>
    <t>Перечислены средства подведомственныи организациям социального обслуживания для выплат мер государственной поддержки специалистам, работающих и проживающих в сельских населенных пунктах, рабочих поселках и поселках городского типа на территории Ульяновской области на сумму 248,1 тыс. руб.</t>
  </si>
  <si>
    <t>Перечислена субсидия на ремонт кровли жилого корпуса ОГАУСО "Специальный дом-интернат для престарелых и инвалидов в с. Репьёвка Колхозная", оплачены работы рем.сист.ВС.и КН в ОГКУСО "Реабилитац.центр для детей и подростков с огранич.возможн."Подсолнух" в г. Ульяновске"</t>
  </si>
  <si>
    <t>За I полугодие 2017 года единовременная материальная помощь оказана 3 чел. Задолженности перед получателями нет.</t>
  </si>
  <si>
    <t>"Социальная поддержка и защита населения Ульяновской области на 2014-2020 годы"</t>
  </si>
  <si>
    <t>42 16 75 Ласточкина Ольга Федоровна</t>
  </si>
  <si>
    <t>41 72 07 Ковальчук Виктор Иванович</t>
  </si>
  <si>
    <t>За I полугодие 2017 года значение целевого индикатора перевыполнен</t>
  </si>
  <si>
    <t>В I полугодии 2017 года субсидии на оплату жилого помещения и коммунальных услуг предоставлены 28981  получателю. Выплаты произведены в полном объеме</t>
  </si>
  <si>
    <t>В I полугодии 2017 года компенсации на оплату жилого помещения и коммунальных услуг предоставлены 8419 получателям. Выплаты произведены в полном объеме</t>
  </si>
  <si>
    <t>В I полугодии 2017 года выплата ЕДК представлена 88253 ветеранам в полном объёме.</t>
  </si>
  <si>
    <t>В I полугодии 2017 года социальной поддержки представлены 226 труженникам в полном объёме.</t>
  </si>
  <si>
    <t>В I полугодии 2017 года меры социальной поддержки представлены  843 реабилитированному гражданину в  полном объёме.</t>
  </si>
  <si>
    <t>В I полугодии 2017 года выплаты ЕДК представлены 112461 ветеранам в  полном объёме</t>
  </si>
  <si>
    <t>В I полугодии 2017 года выплата пособия по погребению представлена  667 гражданам в полном объёме.</t>
  </si>
  <si>
    <t>В I полугодии 2017 года ежемесячная денежная компенсация на оплату жилого помещения и отдельных видов коммунальных услуг предоставлена 12995 педагогическим работникам сельской местности в полном объеме. Задолженности перед получателями нет.</t>
  </si>
  <si>
    <t>В I полугодии 2017 года выплаты  представлены 2198 гражданам в  полном объёме</t>
  </si>
  <si>
    <t>В I полугодии 2017 года меры социальной поддержки представлены 93 инвалидам в  полном объёме.</t>
  </si>
  <si>
    <t>В I полугодии 2017 года меры социальной поддержки представлены 470 гражданам в полном объёме.</t>
  </si>
  <si>
    <t>В I полугодии 2017 года меры социальной поддержки представлены 1012 гражданам в полном объёме.</t>
  </si>
  <si>
    <t>В I полугодии 2017 года меры социальной поддержки представлены 2243 гражданам в полном объёме.</t>
  </si>
  <si>
    <t>В I полугодии 2017 года меры социальной поддержки представлены 219 гражданам в полном объёме</t>
  </si>
  <si>
    <t>В I полугодии 2017 года ежемесячная денежная компенсация на оплату жилого помещения и коммунальных услуг предоставлена 1793 гражданам в полном объёме</t>
  </si>
  <si>
    <t>В I полугодии 2017 года  компенсационные выплаты предоставлены 367 гражданину в полном объеме.</t>
  </si>
  <si>
    <t>В I полугодии 2017 года  меры социальной поддержки представлены 226 человекам в  полном объёме.</t>
  </si>
  <si>
    <t>В I полугодии 2017 года ежегодная денежная  выплата представлена 87374 гражданам в полном объёме</t>
  </si>
  <si>
    <t>В I полугодии 2017 года социальной поддержки  представлены 12 гражданам в полном объёме</t>
  </si>
  <si>
    <t>В I полугодии 2017 года меры социальной поддержки представлены 1746 гражданам в полном объёме.</t>
  </si>
  <si>
    <t>Ежемесячная денежная компенсация расходов  на уплату взноса на капитальный ремонт за I полугодие 2017 года предоставлена 64 гражданам (всем обратившимся гражданам выплата предоставляется в полном объёме).</t>
  </si>
  <si>
    <t>Данная мера соц. поддержки предоставляется по фактическому обращению граждан. В I полугодии 2017 года выплата представлена 32 гражданам в полном объёме.</t>
  </si>
  <si>
    <t>В I полугодии 2017 года меры социальной поддержки представлены 21365 гражданам в полном объёме.</t>
  </si>
  <si>
    <t>Единовременное пособие выплачено в I полугодии 2017 года на 12 усыновлённых детей</t>
  </si>
  <si>
    <t>За I полугодие 2017 года произведено возмещение расходов 4 получателям</t>
  </si>
  <si>
    <t>За I полугодие 2017 года произведено возмещение расходов 28 получателям</t>
  </si>
  <si>
    <t>За I полугодие 2017 года пособие предоставлено на 57793 человек. Задолженности перед получателями нет.</t>
  </si>
  <si>
    <t>За I полугодие 2017 года меры социальной поддержки представлены 33 гражданам в  полном объёме.</t>
  </si>
  <si>
    <t>За I полугодие 2017 года меры социальной поддержки  представлены 93 гражданам в  полном объёме.</t>
  </si>
  <si>
    <t>За I полугодии 2017 года меры социальной поддержки  представлены 2475 человекам в  полном объёме.</t>
  </si>
  <si>
    <t>В I полугодии 2017 года оказана адресная материальная помощь 2961 чел., оказавшимся в трудной жизненной ситуации: на помощь в связи с пожаром – 135 чел., на лечение – 1072 чел., на газификацию жилья – 332 чел., в связи с малообеспеченностью, задолженностью по кредитам, ЖКУ, ремонтом жилья и прочее  – 964 чел., единовременная денежная выплата вдова участников ликвидации последствий аварии на ЧАЭС к 31-годовщине катастрофы на ЧАЭС – 453 чел., в связи с проведением капитального ремонта ветеранов Великой Отечественной войны – 5 чел. В I полугодии 2017 года проведено 18 заседаний областной общественной комиссии.</t>
  </si>
  <si>
    <t>В I полугодии 2017 года заключено 228 социальных контрактов. По состоянию на 30.06.2017 года на реализацию проекта «Электронная социальная продовольственная карта» предоставлено 2467 получателям.</t>
  </si>
  <si>
    <t>1)Договора с 5 поставщиками на поставку протезно-ортопедических изделий заключены 10.01.2017г.
2) прием , проверка документов и формирование списков;  3) получателю оформляется направление в организацию, с которой заключен договор на изготовление изделий;4) по факту изготовления изделий в органы социальной защиты поставщиками предоставляются платежные документы с приложением реестра получателей изделий; 5) на основаниипредставленных документов,  учреждение социальной защиты оплачивает выданные изделия. За I полугодие 2017 года  обеспечили  протезно-ортопедическими изделиями 2162 человека, не имеющим инвалидности, но по медицинским показаниям нуждающимся в них.в т.ч. лица вставшие на учет в 2016 году</t>
  </si>
  <si>
    <t>УОГКУСЗН "Единый областной центр социальных выплат" проводит мониторинг государственных и муниципальных образовательных учреждений Ульяновской области, а также учреждений культуры и центров занятости, с целью выявления возможности организации проведения обучения неработающих пенсионеров компьютерной грамотности во исполнение рекомендаций Президента РФ по итогам заседания президиума Госсовета о развитии системы защиты граждан пожилого возраста</t>
  </si>
  <si>
    <t>В I полугодии 2017 года ежемесячное денежное пособие предоставлено 131 гражданам. Денежные выплаты предоставлены в полном объёме.</t>
  </si>
  <si>
    <t>В I полугодии 2017 года пенсии за выслугу лет предоставлены в полном объёме. Пенсии за выслугу лет предоставлены 793 гражданину</t>
  </si>
  <si>
    <t xml:space="preserve">В I полугодии 2017 года данной мерой социальной поддержки воспользовались 38 молодых специалистов. Мерами социальной поддержки обеспечены в полном объёме. </t>
  </si>
  <si>
    <t>За I полугодие 2017 года выдано 2633 сертификатов на именной капитал «Семья». Реализовано 245 сертификата, в том числе на улучшение жилищных условий – 71 сертификат, на получение образования – 117 сертификатов, на оплату медицинских услуг – 44 сертификатов, на страхование – 11 сертификатов, на отдых и оздоровление – 2 сертификата</t>
  </si>
  <si>
    <t>В I полугодии в соответствии с Законом Ульяновской области от 02.11.2011 № 180-ЗО «О некоторых мерах по улучшению демографической ситуации в Ульяновской области» предоставлены дополнительные меры социальной поддержки:
- единовременная денежная выплата в размере 10000 рублей при рождении двоих детей в результате многоплодных родов, её получили 62 семьи; 
-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государственных, муниципальных образовательных учреждениях, реализующих основную общеобразовательную программу дошкольного образования, для расчета родительской платы за содержание ребенка в иных образовательных организациях, реализующих основную общеобразовательную программу дошкольного образования, на каждого ребенка, не посещающего указанные государственные, муниципальные образовательные учреждения, её получили 1493 семьи;
- ежемесячная денежная выплата в размере 1000 рублей на каждого ребенка родителям-студентам, её получила 114 семей.
За I полугодие 2017 года выдано 170 свидетельств о предоставлении единовременной выплаты на улучшение жилищных условий, в том числе при рождении детей в результате многоплодных родов свидетельства получили -  44 семьям, при рождении четвертого или последующего ребёнка - 122 семьям, студентам - 4 семьям. В I полугодии реализовали свои свидетельства 93 семьи.</t>
  </si>
  <si>
    <t>За I полугодие 2017 года меры социальной поддержки  представлены 205 гражданам в  полном объёме.</t>
  </si>
  <si>
    <t>В I полугодии 2017 года льготным проездом воспользовалось 8908 федеральных льготников</t>
  </si>
  <si>
    <t>данная мера социальной поддержки предоставляется на заявительной основе</t>
  </si>
  <si>
    <t>В I полугодии 2017 года меры социальной поддержки представлены 17 гражданам в  полном объёме.</t>
  </si>
  <si>
    <t>Единовременное пособие выплачено на 237 детей.</t>
  </si>
  <si>
    <t>Ежемесячные выплаты на обеспечение проезда произведены 16835 детям-сиротам и детям, оставшимся без попечения родителей за I полугодие 2017 года</t>
  </si>
  <si>
    <t>Значение целевого индикатора за I квартал 2017 год  составило 86,8% (целевой индикатор перевыполнен)</t>
  </si>
  <si>
    <t>Проведено 13 социально-значимых мероприятий (Поздравление женщин в родильных отделениях медицинских организаций, подведомственных Министерству здравоохранения, семьи и социального благополучия Ульяновской области, родивших детей 1 января, 23 февраля, 8 марта, 12 июня; День освобождения Ленинграда от блокады; День окончания Сталинградской битвы; День памяти о россиянах, исполняющих свой долг, Митинги, посвящённые Дню освобождения узников фашизма и годовщине катастрофы на Чернобыльской АЭС, Встреча с ветеранами, поздравление в рамках Дня Победы, Гала-концерт Фестиваля детского творчества воспитанников детских домов, социально-реабилитационных центров и социальных приютов Ульяновской области "Храните детские сердца", Мероприятие, посвящённое Дню социального работника, Старт акции Помоги собраться в школу) на сумму 830,6 тыс. рублей)</t>
  </si>
  <si>
    <t>Произведено 175 выплат 36 получателям в полном объёме за I полугодие 2017 года</t>
  </si>
  <si>
    <r>
      <t xml:space="preserve">За </t>
    </r>
    <r>
      <rPr>
        <sz val="10"/>
        <color rgb="FFFF0000"/>
        <rFont val="Times New Roman"/>
        <family val="1"/>
        <charset val="204"/>
      </rPr>
      <t>I полугодие</t>
    </r>
    <r>
      <rPr>
        <sz val="10"/>
        <rFont val="Times New Roman"/>
        <family val="1"/>
        <charset val="204"/>
      </rPr>
      <t xml:space="preserve"> 2017 года перечислены денежные средства на содержание 23068 детей, 15882 получателям ежемесячного вознаграждения.</t>
    </r>
  </si>
  <si>
    <t>Количество работников прошедших обучение в пнрвом полугодии 2017 года- 5571 человек</t>
  </si>
  <si>
    <t xml:space="preserve">Количество получателей государственных услуг в сфере занятости  составило  57373 человек. </t>
  </si>
  <si>
    <t>За первое полугодие 2017 года численность пострадавших в результате несчастных случаев составила 122 человека</t>
  </si>
  <si>
    <t>За первое полугодие 2017 года специальная оценка условий труда проведена на 13380 рабочих местах</t>
  </si>
  <si>
    <t>Количество прибывших в Ульяновскую область соотечественников за первое полугодие 2017 года составила 584 человека. Программа пользуется популярностью.</t>
  </si>
  <si>
    <t>Причина перевыполнения планового показателяв в том, что программа пользуется большой популярностью среди молодёжи. За 1 полугодие в программе приняло участие 83 человека в возрасте до 30 лет от общей численности участников подпрограммы трудоспособного возраста.</t>
  </si>
  <si>
    <t>Плановое значение (годовое/квартальное)</t>
  </si>
  <si>
    <t>Фактическое значение (годовое/квартальное)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</si>
</sst>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  <numFmt numFmtId="172" formatCode="#,##0.0"/>
    <numFmt numFmtId="173" formatCode="_-* #,##0.0000_р_._-;\-* #,##0.0000_р_._-;_-* &quot;-&quot;??_р_._-;_-@_-"/>
    <numFmt numFmtId="174" formatCode="#,##0.000"/>
    <numFmt numFmtId="175" formatCode="_-* #,##0.000_р_._-;\-* #,##0.000_р_._-;_-* &quot;-&quot;???_р_._-;_-@_-"/>
    <numFmt numFmtId="176" formatCode="_-* #,##0.0000000_р_._-;\-* #,##0.0000000_р_._-;_-* &quot;-&quot;???_р_._-;_-@_-"/>
    <numFmt numFmtId="177" formatCode="_-* #,##0.000_р_._-;\-* #,##0.000_р_._-;_-* &quot;-&quot;?_р_._-;_-@_-"/>
    <numFmt numFmtId="178" formatCode="#,##0.0000"/>
    <numFmt numFmtId="179" formatCode="_-* #,##0.00000_р_._-;\-* #,##0.00000_р_._-;_-* &quot;-&quot;??_р_._-;_-@_-"/>
    <numFmt numFmtId="180" formatCode="0.000"/>
    <numFmt numFmtId="181" formatCode="#,##0.000000"/>
    <numFmt numFmtId="182" formatCode="#,##0.000_ ;\-#,##0.000\ 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0"/>
      <color rgb="FFFF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rgb="FFFF0000"/>
      <name val="Calibri"/>
      <family val="2"/>
    </font>
    <font>
      <sz val="10"/>
      <color rgb="FFFF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.5"/>
      <name val="Times New Roman"/>
      <family val="1"/>
      <charset val="204"/>
    </font>
    <font>
      <sz val="10"/>
      <name val="Calibri"/>
      <family val="2"/>
    </font>
    <font>
      <sz val="9.300000000000000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9">
    <xf numFmtId="0" fontId="0" fillId="0" borderId="0"/>
    <xf numFmtId="169" fontId="35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1010">
    <xf numFmtId="0" fontId="0" fillId="0" borderId="0" xfId="0"/>
    <xf numFmtId="0" fontId="8" fillId="0" borderId="0" xfId="0" applyFont="1" applyFill="1"/>
    <xf numFmtId="4" fontId="17" fillId="0" borderId="1" xfId="0" applyNumberFormat="1" applyFont="1" applyFill="1" applyBorder="1"/>
    <xf numFmtId="0" fontId="17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4" fontId="12" fillId="0" borderId="2" xfId="0" applyNumberFormat="1" applyFont="1" applyFill="1" applyBorder="1" applyAlignment="1">
      <alignment vertical="center"/>
    </xf>
    <xf numFmtId="4" fontId="15" fillId="0" borderId="1" xfId="90" applyNumberFormat="1" applyFont="1" applyFill="1" applyBorder="1" applyAlignment="1">
      <alignment vertical="center" wrapText="1"/>
    </xf>
    <xf numFmtId="4" fontId="15" fillId="0" borderId="1" xfId="90" applyNumberFormat="1" applyFont="1" applyFill="1" applyBorder="1" applyAlignment="1">
      <alignment horizontal="justify" vertical="center" wrapText="1"/>
    </xf>
    <xf numFmtId="0" fontId="15" fillId="0" borderId="1" xfId="90" applyFont="1" applyFill="1" applyBorder="1" applyAlignment="1">
      <alignment horizontal="justify" vertical="center" wrapText="1"/>
    </xf>
    <xf numFmtId="43" fontId="12" fillId="0" borderId="1" xfId="380" applyFont="1" applyFill="1" applyBorder="1" applyAlignment="1">
      <alignment vertical="center"/>
    </xf>
    <xf numFmtId="43" fontId="15" fillId="0" borderId="1" xfId="380" applyFont="1" applyFill="1" applyBorder="1" applyAlignment="1">
      <alignment vertical="center" wrapText="1"/>
    </xf>
    <xf numFmtId="43" fontId="15" fillId="0" borderId="1" xfId="38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wrapText="1"/>
    </xf>
    <xf numFmtId="4" fontId="17" fillId="0" borderId="3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wrapText="1"/>
    </xf>
    <xf numFmtId="171" fontId="12" fillId="0" borderId="1" xfId="376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wrapText="1"/>
    </xf>
    <xf numFmtId="4" fontId="17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/>
    <xf numFmtId="9" fontId="12" fillId="0" borderId="1" xfId="376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wrapText="1"/>
    </xf>
    <xf numFmtId="43" fontId="12" fillId="0" borderId="1" xfId="380" applyFont="1" applyFill="1" applyBorder="1" applyAlignment="1">
      <alignment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12" fillId="0" borderId="0" xfId="0" applyFont="1"/>
    <xf numFmtId="0" fontId="0" fillId="0" borderId="1" xfId="0" applyBorder="1"/>
    <xf numFmtId="0" fontId="12" fillId="0" borderId="0" xfId="0" applyFont="1" applyFill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2" borderId="0" xfId="0" applyFill="1"/>
    <xf numFmtId="4" fontId="15" fillId="2" borderId="1" xfId="3" applyNumberFormat="1" applyFont="1" applyFill="1" applyBorder="1" applyAlignment="1">
      <alignment vertical="center" wrapText="1"/>
    </xf>
    <xf numFmtId="4" fontId="15" fillId="2" borderId="2" xfId="3" applyNumberFormat="1" applyFont="1" applyFill="1" applyBorder="1" applyAlignment="1">
      <alignment horizontal="justify" vertical="center" wrapText="1"/>
    </xf>
    <xf numFmtId="4" fontId="12" fillId="2" borderId="10" xfId="0" applyNumberFormat="1" applyFont="1" applyFill="1" applyBorder="1"/>
    <xf numFmtId="0" fontId="12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vertical="center"/>
    </xf>
    <xf numFmtId="0" fontId="15" fillId="2" borderId="1" xfId="90" applyFont="1" applyFill="1" applyBorder="1" applyAlignment="1">
      <alignment horizontal="justify"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30" fillId="2" borderId="0" xfId="0" applyFont="1" applyFill="1"/>
    <xf numFmtId="43" fontId="15" fillId="2" borderId="1" xfId="380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vertical="center"/>
    </xf>
    <xf numFmtId="10" fontId="15" fillId="2" borderId="1" xfId="38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justify" vertical="center" wrapText="1"/>
    </xf>
    <xf numFmtId="4" fontId="15" fillId="2" borderId="10" xfId="0" applyNumberFormat="1" applyFont="1" applyFill="1" applyBorder="1" applyAlignment="1">
      <alignment horizontal="justify" vertical="center" wrapText="1"/>
    </xf>
    <xf numFmtId="0" fontId="15" fillId="2" borderId="1" xfId="368" applyFont="1" applyFill="1" applyBorder="1" applyAlignment="1">
      <alignment horizontal="justify" vertical="center" wrapText="1"/>
    </xf>
    <xf numFmtId="171" fontId="15" fillId="2" borderId="1" xfId="376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/>
    </xf>
    <xf numFmtId="4" fontId="15" fillId="2" borderId="3" xfId="3" applyNumberFormat="1" applyFont="1" applyFill="1" applyBorder="1" applyAlignment="1">
      <alignment vertical="center" wrapText="1"/>
    </xf>
    <xf numFmtId="4" fontId="15" fillId="2" borderId="3" xfId="3" applyNumberFormat="1" applyFont="1" applyFill="1" applyBorder="1" applyAlignment="1">
      <alignment horizontal="justify" vertical="center" wrapText="1"/>
    </xf>
    <xf numFmtId="4" fontId="15" fillId="2" borderId="1" xfId="3" applyNumberFormat="1" applyFont="1" applyFill="1" applyBorder="1" applyAlignment="1">
      <alignment horizontal="justify" vertical="center" wrapText="1"/>
    </xf>
    <xf numFmtId="4" fontId="15" fillId="2" borderId="1" xfId="90" applyNumberFormat="1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2" fillId="2" borderId="10" xfId="0" applyNumberFormat="1" applyFont="1" applyFill="1" applyBorder="1"/>
    <xf numFmtId="0" fontId="12" fillId="2" borderId="2" xfId="0" applyFont="1" applyFill="1" applyBorder="1" applyAlignment="1">
      <alignment horizontal="justify" vertical="center" wrapText="1"/>
    </xf>
    <xf numFmtId="4" fontId="15" fillId="2" borderId="3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justify" vertical="center" wrapText="1"/>
    </xf>
    <xf numFmtId="4" fontId="12" fillId="2" borderId="13" xfId="0" applyNumberFormat="1" applyFont="1" applyFill="1" applyBorder="1"/>
    <xf numFmtId="43" fontId="15" fillId="0" borderId="1" xfId="380" applyFont="1" applyFill="1" applyBorder="1" applyAlignment="1">
      <alignment horizontal="center" vertical="center" wrapText="1"/>
    </xf>
    <xf numFmtId="10" fontId="15" fillId="0" borderId="1" xfId="38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4" fontId="17" fillId="2" borderId="14" xfId="0" applyNumberFormat="1" applyFont="1" applyFill="1" applyBorder="1" applyAlignment="1">
      <alignment horizontal="justify" vertical="center" wrapText="1"/>
    </xf>
    <xf numFmtId="4" fontId="17" fillId="2" borderId="15" xfId="0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justify" vertical="center" wrapText="1"/>
    </xf>
    <xf numFmtId="4" fontId="12" fillId="2" borderId="16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justify" vertical="center"/>
    </xf>
    <xf numFmtId="4" fontId="18" fillId="2" borderId="2" xfId="3" applyNumberFormat="1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4" fontId="17" fillId="0" borderId="17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justify" vertical="center" wrapText="1"/>
    </xf>
    <xf numFmtId="9" fontId="12" fillId="0" borderId="1" xfId="376" applyFont="1" applyFill="1" applyBorder="1" applyAlignment="1">
      <alignment vertical="top" wrapText="1"/>
    </xf>
    <xf numFmtId="43" fontId="15" fillId="2" borderId="1" xfId="380" applyFont="1" applyFill="1" applyBorder="1" applyAlignment="1">
      <alignment horizontal="center" vertical="top" wrapText="1"/>
    </xf>
    <xf numFmtId="9" fontId="12" fillId="2" borderId="1" xfId="376" applyFont="1" applyFill="1" applyBorder="1" applyAlignment="1">
      <alignment vertical="top" wrapText="1"/>
    </xf>
    <xf numFmtId="43" fontId="12" fillId="2" borderId="1" xfId="380" applyFont="1" applyFill="1" applyBorder="1" applyAlignment="1">
      <alignment vertical="top"/>
    </xf>
    <xf numFmtId="10" fontId="12" fillId="2" borderId="1" xfId="38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horizontal="justify" vertical="center" wrapText="1"/>
    </xf>
    <xf numFmtId="166" fontId="12" fillId="0" borderId="1" xfId="380" applyNumberFormat="1" applyFont="1" applyBorder="1" applyAlignment="1">
      <alignment vertical="top"/>
    </xf>
    <xf numFmtId="166" fontId="12" fillId="0" borderId="1" xfId="380" applyNumberFormat="1" applyFont="1" applyFill="1" applyBorder="1" applyAlignment="1">
      <alignment vertical="top"/>
    </xf>
    <xf numFmtId="0" fontId="27" fillId="0" borderId="19" xfId="0" applyFont="1" applyFill="1" applyBorder="1" applyAlignment="1">
      <alignment horizontal="center" vertical="top" wrapText="1"/>
    </xf>
    <xf numFmtId="4" fontId="27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74" fontId="27" fillId="0" borderId="1" xfId="0" applyNumberFormat="1" applyFont="1" applyFill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center"/>
    </xf>
    <xf numFmtId="170" fontId="15" fillId="0" borderId="1" xfId="380" applyNumberFormat="1" applyFont="1" applyFill="1" applyBorder="1" applyAlignment="1">
      <alignment horizontal="center" vertical="center" wrapText="1"/>
    </xf>
    <xf numFmtId="170" fontId="15" fillId="0" borderId="7" xfId="380" applyNumberFormat="1" applyFont="1" applyFill="1" applyBorder="1" applyAlignment="1">
      <alignment horizontal="center" vertical="center" wrapText="1"/>
    </xf>
    <xf numFmtId="171" fontId="12" fillId="0" borderId="1" xfId="376" applyNumberFormat="1" applyFont="1" applyFill="1" applyBorder="1" applyAlignment="1">
      <alignment horizontal="center" vertical="center" wrapText="1"/>
    </xf>
    <xf numFmtId="0" fontId="15" fillId="2" borderId="1" xfId="9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70" fontId="15" fillId="0" borderId="10" xfId="380" applyNumberFormat="1" applyFont="1" applyFill="1" applyBorder="1" applyAlignment="1">
      <alignment horizontal="center" vertical="center" wrapText="1"/>
    </xf>
    <xf numFmtId="171" fontId="12" fillId="2" borderId="1" xfId="376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justify" vertical="center" wrapText="1"/>
    </xf>
    <xf numFmtId="167" fontId="12" fillId="2" borderId="1" xfId="37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justify" vertical="center" wrapText="1"/>
    </xf>
    <xf numFmtId="170" fontId="15" fillId="0" borderId="10" xfId="38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3" fontId="15" fillId="0" borderId="1" xfId="38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1" fontId="15" fillId="0" borderId="1" xfId="376" applyNumberFormat="1" applyFont="1" applyFill="1" applyBorder="1" applyAlignment="1">
      <alignment horizontal="center" vertical="center" wrapText="1"/>
    </xf>
    <xf numFmtId="43" fontId="15" fillId="2" borderId="1" xfId="380" applyNumberFormat="1" applyFont="1" applyFill="1" applyBorder="1" applyAlignment="1">
      <alignment horizontal="center" vertical="top"/>
    </xf>
    <xf numFmtId="164" fontId="15" fillId="2" borderId="1" xfId="380" applyNumberFormat="1" applyFont="1" applyFill="1" applyBorder="1" applyAlignment="1">
      <alignment horizontal="center" vertical="top"/>
    </xf>
    <xf numFmtId="43" fontId="17" fillId="0" borderId="1" xfId="0" applyNumberFormat="1" applyFont="1" applyFill="1" applyBorder="1" applyAlignment="1">
      <alignment horizontal="center" vertical="center" wrapText="1"/>
    </xf>
    <xf numFmtId="164" fontId="15" fillId="0" borderId="1" xfId="380" applyNumberFormat="1" applyFont="1" applyFill="1" applyBorder="1" applyAlignment="1">
      <alignment horizontal="center" vertical="top"/>
    </xf>
    <xf numFmtId="10" fontId="12" fillId="0" borderId="1" xfId="0" applyNumberFormat="1" applyFont="1" applyFill="1" applyBorder="1" applyAlignment="1">
      <alignment vertical="top"/>
    </xf>
    <xf numFmtId="0" fontId="12" fillId="0" borderId="0" xfId="0" applyFont="1" applyAlignment="1">
      <alignment horizontal="justify" vertical="center" wrapText="1"/>
    </xf>
    <xf numFmtId="4" fontId="15" fillId="2" borderId="1" xfId="3" applyNumberFormat="1" applyFont="1" applyFill="1" applyBorder="1" applyAlignment="1">
      <alignment horizontal="center" vertical="center" wrapText="1"/>
    </xf>
    <xf numFmtId="4" fontId="15" fillId="0" borderId="1" xfId="9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4" fontId="18" fillId="2" borderId="2" xfId="3" applyNumberFormat="1" applyFont="1" applyFill="1" applyBorder="1" applyAlignment="1">
      <alignment horizontal="center" vertical="center" wrapText="1"/>
    </xf>
    <xf numFmtId="0" fontId="15" fillId="0" borderId="1" xfId="90" applyFont="1" applyFill="1" applyBorder="1" applyAlignment="1">
      <alignment horizontal="center" vertical="center" wrapText="1"/>
    </xf>
    <xf numFmtId="171" fontId="12" fillId="0" borderId="1" xfId="376" applyNumberFormat="1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justify" vertical="center" wrapText="1"/>
    </xf>
    <xf numFmtId="0" fontId="15" fillId="2" borderId="13" xfId="0" applyNumberFormat="1" applyFont="1" applyFill="1" applyBorder="1" applyAlignment="1">
      <alignment vertical="center"/>
    </xf>
    <xf numFmtId="164" fontId="15" fillId="3" borderId="1" xfId="380" applyNumberFormat="1" applyFont="1" applyFill="1" applyBorder="1" applyAlignment="1">
      <alignment horizontal="right" vertical="center" wrapText="1"/>
    </xf>
    <xf numFmtId="4" fontId="15" fillId="3" borderId="1" xfId="3" applyNumberFormat="1" applyFont="1" applyFill="1" applyBorder="1" applyAlignment="1">
      <alignment vertical="center" wrapText="1"/>
    </xf>
    <xf numFmtId="4" fontId="15" fillId="3" borderId="1" xfId="3" applyNumberFormat="1" applyFont="1" applyFill="1" applyBorder="1" applyAlignment="1">
      <alignment horizontal="justify" vertical="center" wrapText="1"/>
    </xf>
    <xf numFmtId="172" fontId="15" fillId="3" borderId="1" xfId="39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37" fillId="3" borderId="0" xfId="0" applyFont="1" applyFill="1"/>
    <xf numFmtId="0" fontId="18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vertical="center" wrapText="1"/>
    </xf>
    <xf numFmtId="4" fontId="15" fillId="3" borderId="3" xfId="3" applyNumberFormat="1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justify" vertical="top" wrapText="1"/>
    </xf>
    <xf numFmtId="4" fontId="2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" fontId="25" fillId="3" borderId="3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justify" vertical="center"/>
    </xf>
    <xf numFmtId="0" fontId="15" fillId="3" borderId="1" xfId="0" applyFont="1" applyFill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vertical="center" wrapText="1"/>
    </xf>
    <xf numFmtId="4" fontId="18" fillId="3" borderId="1" xfId="3" applyNumberFormat="1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vertical="top" wrapText="1"/>
    </xf>
    <xf numFmtId="4" fontId="18" fillId="3" borderId="1" xfId="391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vertical="center" wrapText="1"/>
    </xf>
    <xf numFmtId="4" fontId="15" fillId="3" borderId="1" xfId="3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top" wrapText="1"/>
    </xf>
    <xf numFmtId="14" fontId="15" fillId="3" borderId="1" xfId="391" applyNumberFormat="1" applyFont="1" applyFill="1" applyBorder="1" applyAlignment="1">
      <alignment horizontal="center" vertical="top" wrapText="1"/>
    </xf>
    <xf numFmtId="166" fontId="15" fillId="3" borderId="2" xfId="391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4" fontId="15" fillId="3" borderId="1" xfId="391" applyNumberFormat="1" applyFont="1" applyFill="1" applyBorder="1" applyAlignment="1">
      <alignment horizontal="center" vertical="center" wrapText="1"/>
    </xf>
    <xf numFmtId="43" fontId="15" fillId="3" borderId="1" xfId="380" applyFont="1" applyFill="1" applyBorder="1" applyAlignment="1">
      <alignment horizontal="center" vertical="top" wrapText="1"/>
    </xf>
    <xf numFmtId="4" fontId="23" fillId="3" borderId="1" xfId="90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5" fillId="3" borderId="1" xfId="90" applyNumberFormat="1" applyFont="1" applyFill="1" applyBorder="1" applyAlignment="1">
      <alignment vertical="center" wrapText="1"/>
    </xf>
    <xf numFmtId="4" fontId="15" fillId="3" borderId="1" xfId="90" applyNumberFormat="1" applyFont="1" applyFill="1" applyBorder="1" applyAlignment="1">
      <alignment horizontal="justify"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vertical="center" wrapText="1"/>
    </xf>
    <xf numFmtId="0" fontId="15" fillId="3" borderId="10" xfId="391" applyNumberFormat="1" applyFont="1" applyFill="1" applyBorder="1" applyAlignment="1">
      <alignment horizontal="center" vertical="top" wrapText="1"/>
    </xf>
    <xf numFmtId="166" fontId="15" fillId="3" borderId="1" xfId="391" applyNumberFormat="1" applyFont="1" applyFill="1" applyBorder="1" applyAlignment="1">
      <alignment horizontal="center" vertical="center" wrapText="1"/>
    </xf>
    <xf numFmtId="0" fontId="24" fillId="3" borderId="4" xfId="0" applyFont="1" applyFill="1" applyBorder="1"/>
    <xf numFmtId="166" fontId="24" fillId="3" borderId="1" xfId="0" applyNumberFormat="1" applyFont="1" applyFill="1" applyBorder="1"/>
    <xf numFmtId="2" fontId="24" fillId="3" borderId="4" xfId="0" applyNumberFormat="1" applyFont="1" applyFill="1" applyBorder="1" applyAlignment="1">
      <alignment horizontal="right"/>
    </xf>
    <xf numFmtId="2" fontId="24" fillId="3" borderId="1" xfId="0" applyNumberFormat="1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right" vertical="center"/>
    </xf>
    <xf numFmtId="10" fontId="15" fillId="3" borderId="1" xfId="380" applyNumberFormat="1" applyFont="1" applyFill="1" applyBorder="1" applyAlignment="1">
      <alignment horizontal="right" vertical="top"/>
    </xf>
    <xf numFmtId="43" fontId="15" fillId="3" borderId="1" xfId="38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5" fillId="3" borderId="1" xfId="391" applyNumberFormat="1" applyFont="1" applyFill="1" applyBorder="1" applyAlignment="1">
      <alignment horizontal="center" vertical="top" wrapText="1"/>
    </xf>
    <xf numFmtId="166" fontId="15" fillId="3" borderId="1" xfId="380" applyNumberFormat="1" applyFont="1" applyFill="1" applyBorder="1" applyAlignment="1">
      <alignment vertical="center"/>
    </xf>
    <xf numFmtId="43" fontId="15" fillId="3" borderId="1" xfId="38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top" wrapText="1"/>
    </xf>
    <xf numFmtId="0" fontId="15" fillId="3" borderId="1" xfId="0" applyNumberFormat="1" applyFont="1" applyFill="1" applyBorder="1"/>
    <xf numFmtId="0" fontId="15" fillId="3" borderId="10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66" fontId="15" fillId="3" borderId="2" xfId="391" applyNumberFormat="1" applyFont="1" applyFill="1" applyBorder="1" applyAlignment="1">
      <alignment horizontal="right" wrapText="1"/>
    </xf>
    <xf numFmtId="0" fontId="24" fillId="3" borderId="2" xfId="0" applyFont="1" applyFill="1" applyBorder="1" applyAlignment="1">
      <alignment horizontal="right"/>
    </xf>
    <xf numFmtId="166" fontId="24" fillId="3" borderId="2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/>
    </xf>
    <xf numFmtId="4" fontId="18" fillId="3" borderId="2" xfId="3" applyNumberFormat="1" applyFont="1" applyFill="1" applyBorder="1" applyAlignment="1">
      <alignment vertical="center" wrapText="1"/>
    </xf>
    <xf numFmtId="4" fontId="18" fillId="3" borderId="2" xfId="3" applyNumberFormat="1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/>
    </xf>
    <xf numFmtId="43" fontId="15" fillId="3" borderId="2" xfId="380" applyFont="1" applyFill="1" applyBorder="1" applyAlignment="1">
      <alignment horizontal="right" vertical="center" wrapText="1"/>
    </xf>
    <xf numFmtId="164" fontId="15" fillId="3" borderId="1" xfId="39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/>
    </xf>
    <xf numFmtId="0" fontId="15" fillId="3" borderId="1" xfId="90" applyFont="1" applyFill="1" applyBorder="1" applyAlignment="1">
      <alignment horizontal="justify" vertical="center" wrapText="1"/>
    </xf>
    <xf numFmtId="0" fontId="37" fillId="0" borderId="0" xfId="0" applyFont="1"/>
    <xf numFmtId="0" fontId="15" fillId="0" borderId="0" xfId="0" applyFont="1"/>
    <xf numFmtId="0" fontId="14" fillId="0" borderId="0" xfId="0" applyFont="1" applyFill="1"/>
    <xf numFmtId="0" fontId="25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2" borderId="1" xfId="376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/>
    <xf numFmtId="10" fontId="15" fillId="0" borderId="1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4" fontId="18" fillId="0" borderId="3" xfId="0" applyNumberFormat="1" applyFont="1" applyFill="1" applyBorder="1" applyAlignment="1">
      <alignment wrapText="1"/>
    </xf>
    <xf numFmtId="4" fontId="18" fillId="0" borderId="3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wrapText="1"/>
    </xf>
    <xf numFmtId="171" fontId="15" fillId="2" borderId="1" xfId="376" applyNumberFormat="1" applyFont="1" applyFill="1" applyBorder="1" applyAlignment="1">
      <alignment horizontal="center" vertical="top" wrapText="1"/>
    </xf>
    <xf numFmtId="0" fontId="15" fillId="3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justify" vertical="center" wrapText="1"/>
    </xf>
    <xf numFmtId="4" fontId="37" fillId="3" borderId="0" xfId="0" applyNumberFormat="1" applyFont="1" applyFill="1"/>
    <xf numFmtId="0" fontId="16" fillId="3" borderId="0" xfId="0" applyFont="1" applyFill="1"/>
    <xf numFmtId="0" fontId="18" fillId="3" borderId="1" xfId="0" applyFont="1" applyFill="1" applyBorder="1"/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31" fillId="3" borderId="1" xfId="0" applyFont="1" applyFill="1" applyBorder="1"/>
    <xf numFmtId="4" fontId="18" fillId="3" borderId="15" xfId="0" applyNumberFormat="1" applyFont="1" applyFill="1" applyBorder="1" applyAlignment="1">
      <alignment horizontal="left" vertical="center"/>
    </xf>
    <xf numFmtId="4" fontId="18" fillId="3" borderId="14" xfId="0" applyNumberFormat="1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vertical="justify" wrapText="1"/>
    </xf>
    <xf numFmtId="0" fontId="15" fillId="3" borderId="1" xfId="0" applyFont="1" applyFill="1" applyBorder="1" applyAlignment="1">
      <alignment horizontal="right" wrapText="1"/>
    </xf>
    <xf numFmtId="49" fontId="39" fillId="3" borderId="1" xfId="0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/>
    </xf>
    <xf numFmtId="43" fontId="41" fillId="3" borderId="1" xfId="0" applyNumberFormat="1" applyFont="1" applyFill="1" applyBorder="1" applyAlignment="1">
      <alignment horizontal="center"/>
    </xf>
    <xf numFmtId="43" fontId="23" fillId="3" borderId="1" xfId="380" applyFont="1" applyFill="1" applyBorder="1" applyAlignment="1">
      <alignment horizontal="center"/>
    </xf>
    <xf numFmtId="0" fontId="14" fillId="3" borderId="1" xfId="0" applyFont="1" applyFill="1" applyBorder="1"/>
    <xf numFmtId="4" fontId="18" fillId="3" borderId="18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vertical="center"/>
    </xf>
    <xf numFmtId="4" fontId="18" fillId="3" borderId="3" xfId="0" applyNumberFormat="1" applyFont="1" applyFill="1" applyBorder="1" applyAlignment="1">
      <alignment horizontal="justify" vertical="center" wrapText="1"/>
    </xf>
    <xf numFmtId="43" fontId="18" fillId="3" borderId="1" xfId="38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justify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vertical="center"/>
    </xf>
    <xf numFmtId="43" fontId="23" fillId="3" borderId="1" xfId="0" applyNumberFormat="1" applyFont="1" applyFill="1" applyBorder="1"/>
    <xf numFmtId="4" fontId="15" fillId="3" borderId="16" xfId="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justify" vertical="center" wrapText="1"/>
    </xf>
    <xf numFmtId="4" fontId="15" fillId="3" borderId="1" xfId="0" applyNumberFormat="1" applyFont="1" applyFill="1" applyBorder="1"/>
    <xf numFmtId="49" fontId="18" fillId="3" borderId="1" xfId="0" applyNumberFormat="1" applyFont="1" applyFill="1" applyBorder="1"/>
    <xf numFmtId="0" fontId="18" fillId="3" borderId="1" xfId="0" applyFont="1" applyFill="1" applyBorder="1" applyAlignment="1">
      <alignment wrapText="1"/>
    </xf>
    <xf numFmtId="43" fontId="22" fillId="3" borderId="1" xfId="380" applyFont="1" applyFill="1" applyBorder="1" applyAlignment="1">
      <alignment vertical="center"/>
    </xf>
    <xf numFmtId="49" fontId="22" fillId="3" borderId="1" xfId="0" applyNumberFormat="1" applyFont="1" applyFill="1" applyBorder="1"/>
    <xf numFmtId="0" fontId="22" fillId="3" borderId="1" xfId="0" applyFont="1" applyFill="1" applyBorder="1" applyAlignment="1">
      <alignment wrapText="1"/>
    </xf>
    <xf numFmtId="0" fontId="26" fillId="3" borderId="1" xfId="0" applyFont="1" applyFill="1" applyBorder="1"/>
    <xf numFmtId="4" fontId="18" fillId="3" borderId="1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justify" vertical="center"/>
    </xf>
    <xf numFmtId="43" fontId="15" fillId="3" borderId="1" xfId="380" applyFont="1" applyFill="1" applyBorder="1" applyAlignment="1">
      <alignment vertical="center"/>
    </xf>
    <xf numFmtId="17" fontId="15" fillId="3" borderId="1" xfId="0" applyNumberFormat="1" applyFont="1" applyFill="1" applyBorder="1" applyAlignment="1">
      <alignment horizontal="center" vertical="center" wrapText="1"/>
    </xf>
    <xf numFmtId="171" fontId="15" fillId="3" borderId="0" xfId="376" applyNumberFormat="1" applyFont="1" applyFill="1"/>
    <xf numFmtId="49" fontId="15" fillId="3" borderId="1" xfId="0" applyNumberFormat="1" applyFont="1" applyFill="1" applyBorder="1"/>
    <xf numFmtId="43" fontId="37" fillId="3" borderId="0" xfId="0" applyNumberFormat="1" applyFont="1" applyFill="1"/>
    <xf numFmtId="165" fontId="37" fillId="3" borderId="0" xfId="0" applyNumberFormat="1" applyFont="1" applyFill="1"/>
    <xf numFmtId="0" fontId="14" fillId="3" borderId="0" xfId="0" applyFont="1" applyFill="1"/>
    <xf numFmtId="0" fontId="23" fillId="3" borderId="1" xfId="0" applyFont="1" applyFill="1" applyBorder="1" applyAlignment="1">
      <alignment horizontal="left" vertical="center" wrapText="1"/>
    </xf>
    <xf numFmtId="166" fontId="15" fillId="3" borderId="3" xfId="380" applyNumberFormat="1" applyFont="1" applyFill="1" applyBorder="1" applyAlignment="1">
      <alignment horizontal="center" vertical="center" wrapText="1"/>
    </xf>
    <xf numFmtId="166" fontId="15" fillId="3" borderId="3" xfId="380" applyNumberFormat="1" applyFont="1" applyFill="1" applyBorder="1" applyAlignment="1">
      <alignment horizontal="right" vertical="center" wrapText="1"/>
    </xf>
    <xf numFmtId="166" fontId="15" fillId="3" borderId="1" xfId="380" applyNumberFormat="1" applyFont="1" applyFill="1" applyBorder="1" applyAlignment="1">
      <alignment horizontal="center" vertical="center" wrapText="1"/>
    </xf>
    <xf numFmtId="166" fontId="15" fillId="3" borderId="1" xfId="380" applyNumberFormat="1" applyFont="1" applyFill="1" applyBorder="1" applyAlignment="1">
      <alignment horizontal="right" vertical="center" wrapText="1"/>
    </xf>
    <xf numFmtId="166" fontId="15" fillId="3" borderId="23" xfId="380" applyNumberFormat="1" applyFont="1" applyFill="1" applyBorder="1" applyAlignment="1">
      <alignment vertical="center"/>
    </xf>
    <xf numFmtId="166" fontId="15" fillId="3" borderId="1" xfId="380" applyNumberFormat="1" applyFont="1" applyFill="1" applyBorder="1"/>
    <xf numFmtId="166" fontId="15" fillId="3" borderId="24" xfId="380" applyNumberFormat="1" applyFont="1" applyFill="1" applyBorder="1"/>
    <xf numFmtId="166" fontId="15" fillId="3" borderId="10" xfId="380" applyNumberFormat="1" applyFont="1" applyFill="1" applyBorder="1"/>
    <xf numFmtId="164" fontId="15" fillId="3" borderId="23" xfId="380" applyNumberFormat="1" applyFont="1" applyFill="1" applyBorder="1"/>
    <xf numFmtId="4" fontId="15" fillId="3" borderId="24" xfId="0" applyNumberFormat="1" applyFont="1" applyFill="1" applyBorder="1"/>
    <xf numFmtId="4" fontId="15" fillId="3" borderId="4" xfId="0" applyNumberFormat="1" applyFont="1" applyFill="1" applyBorder="1"/>
    <xf numFmtId="171" fontId="28" fillId="3" borderId="0" xfId="376" applyNumberFormat="1" applyFont="1" applyFill="1"/>
    <xf numFmtId="166" fontId="15" fillId="3" borderId="4" xfId="380" applyNumberFormat="1" applyFont="1" applyFill="1" applyBorder="1" applyAlignment="1">
      <alignment horizontal="center" vertical="center" wrapText="1"/>
    </xf>
    <xf numFmtId="164" fontId="15" fillId="3" borderId="4" xfId="380" applyNumberFormat="1" applyFont="1" applyFill="1" applyBorder="1" applyAlignment="1">
      <alignment horizontal="right" vertical="center" wrapText="1"/>
    </xf>
    <xf numFmtId="166" fontId="15" fillId="3" borderId="2" xfId="380" applyNumberFormat="1" applyFont="1" applyFill="1" applyBorder="1" applyAlignment="1">
      <alignment horizontal="center" vertical="center" wrapText="1"/>
    </xf>
    <xf numFmtId="166" fontId="15" fillId="3" borderId="5" xfId="380" applyNumberFormat="1" applyFont="1" applyFill="1" applyBorder="1" applyAlignment="1">
      <alignment vertical="center"/>
    </xf>
    <xf numFmtId="166" fontId="15" fillId="3" borderId="4" xfId="380" applyNumberFormat="1" applyFont="1" applyFill="1" applyBorder="1" applyAlignment="1">
      <alignment vertical="center"/>
    </xf>
    <xf numFmtId="166" fontId="15" fillId="3" borderId="7" xfId="380" applyNumberFormat="1" applyFont="1" applyFill="1" applyBorder="1" applyAlignment="1">
      <alignment horizontal="center" vertical="center" wrapText="1"/>
    </xf>
    <xf numFmtId="166" fontId="15" fillId="3" borderId="7" xfId="380" applyNumberFormat="1" applyFont="1" applyFill="1" applyBorder="1" applyAlignment="1">
      <alignment vertical="center"/>
    </xf>
    <xf numFmtId="166" fontId="15" fillId="3" borderId="25" xfId="380" applyNumberFormat="1" applyFont="1" applyFill="1" applyBorder="1" applyAlignment="1">
      <alignment vertical="center"/>
    </xf>
    <xf numFmtId="164" fontId="15" fillId="3" borderId="7" xfId="380" applyNumberFormat="1" applyFont="1" applyFill="1" applyBorder="1" applyAlignment="1">
      <alignment horizontal="right" vertical="center" wrapText="1"/>
    </xf>
    <xf numFmtId="4" fontId="15" fillId="3" borderId="25" xfId="0" applyNumberFormat="1" applyFont="1" applyFill="1" applyBorder="1" applyAlignment="1">
      <alignment vertical="center"/>
    </xf>
    <xf numFmtId="4" fontId="15" fillId="3" borderId="0" xfId="0" applyNumberFormat="1" applyFont="1" applyFill="1" applyBorder="1" applyAlignment="1">
      <alignment vertical="center"/>
    </xf>
    <xf numFmtId="171" fontId="28" fillId="3" borderId="0" xfId="376" applyNumberFormat="1" applyFont="1" applyFill="1" applyAlignment="1">
      <alignment vertical="center"/>
    </xf>
    <xf numFmtId="171" fontId="16" fillId="3" borderId="0" xfId="0" applyNumberFormat="1" applyFont="1" applyFill="1"/>
    <xf numFmtId="4" fontId="18" fillId="3" borderId="41" xfId="0" applyNumberFormat="1" applyFont="1" applyFill="1" applyBorder="1" applyAlignment="1">
      <alignment horizontal="left" vertical="center" wrapText="1"/>
    </xf>
    <xf numFmtId="164" fontId="18" fillId="3" borderId="40" xfId="380" applyNumberFormat="1" applyFont="1" applyFill="1" applyBorder="1" applyAlignment="1">
      <alignment vertical="center"/>
    </xf>
    <xf numFmtId="43" fontId="18" fillId="3" borderId="40" xfId="380" applyNumberFormat="1" applyFont="1" applyFill="1" applyBorder="1" applyAlignment="1">
      <alignment vertical="center"/>
    </xf>
    <xf numFmtId="173" fontId="18" fillId="3" borderId="40" xfId="380" applyNumberFormat="1" applyFont="1" applyFill="1" applyBorder="1" applyAlignment="1">
      <alignment vertical="center"/>
    </xf>
    <xf numFmtId="4" fontId="18" fillId="3" borderId="31" xfId="0" applyNumberFormat="1" applyFont="1" applyFill="1" applyBorder="1" applyAlignment="1">
      <alignment horizontal="left" vertical="center" wrapText="1"/>
    </xf>
    <xf numFmtId="166" fontId="18" fillId="3" borderId="31" xfId="380" applyNumberFormat="1" applyFont="1" applyFill="1" applyBorder="1" applyAlignment="1">
      <alignment vertical="center"/>
    </xf>
    <xf numFmtId="164" fontId="15" fillId="3" borderId="3" xfId="380" applyNumberFormat="1" applyFont="1" applyFill="1" applyBorder="1" applyAlignment="1">
      <alignment horizontal="right" vertical="center" wrapText="1"/>
    </xf>
    <xf numFmtId="43" fontId="15" fillId="3" borderId="1" xfId="380" applyNumberFormat="1" applyFont="1" applyFill="1" applyBorder="1" applyAlignment="1">
      <alignment horizontal="center" vertical="center" wrapText="1"/>
    </xf>
    <xf numFmtId="43" fontId="15" fillId="3" borderId="1" xfId="380" applyNumberFormat="1" applyFont="1" applyFill="1" applyBorder="1" applyAlignment="1">
      <alignment horizontal="right" vertical="center" wrapText="1"/>
    </xf>
    <xf numFmtId="171" fontId="15" fillId="3" borderId="1" xfId="3" applyNumberFormat="1" applyFont="1" applyFill="1" applyBorder="1" applyAlignment="1">
      <alignment horizontal="justify" vertical="center" wrapText="1"/>
    </xf>
    <xf numFmtId="166" fontId="15" fillId="3" borderId="1" xfId="380" applyNumberFormat="1" applyFont="1" applyFill="1" applyBorder="1" applyAlignment="1">
      <alignment horizontal="justify" vertical="center" wrapText="1"/>
    </xf>
    <xf numFmtId="166" fontId="15" fillId="3" borderId="3" xfId="380" applyNumberFormat="1" applyFont="1" applyFill="1" applyBorder="1" applyAlignment="1">
      <alignment horizontal="justify" vertical="center" wrapText="1"/>
    </xf>
    <xf numFmtId="4" fontId="18" fillId="3" borderId="32" xfId="0" applyNumberFormat="1" applyFont="1" applyFill="1" applyBorder="1" applyAlignment="1">
      <alignment horizontal="left" vertical="center" wrapText="1"/>
    </xf>
    <xf numFmtId="166" fontId="18" fillId="3" borderId="32" xfId="380" applyNumberFormat="1" applyFont="1" applyFill="1" applyBorder="1" applyAlignment="1">
      <alignment vertical="center"/>
    </xf>
    <xf numFmtId="166" fontId="18" fillId="3" borderId="5" xfId="380" applyNumberFormat="1" applyFont="1" applyFill="1" applyBorder="1" applyAlignment="1">
      <alignment horizontal="center" vertical="center" wrapText="1"/>
    </xf>
    <xf numFmtId="166" fontId="18" fillId="3" borderId="1" xfId="380" applyNumberFormat="1" applyFont="1" applyFill="1" applyBorder="1" applyAlignment="1">
      <alignment horizontal="center" vertical="center" wrapText="1"/>
    </xf>
    <xf numFmtId="43" fontId="18" fillId="3" borderId="41" xfId="380" applyNumberFormat="1" applyFont="1" applyFill="1" applyBorder="1" applyAlignment="1">
      <alignment horizontal="center"/>
    </xf>
    <xf numFmtId="43" fontId="18" fillId="3" borderId="31" xfId="380" applyNumberFormat="1" applyFont="1" applyFill="1" applyBorder="1" applyAlignment="1">
      <alignment horizontal="center"/>
    </xf>
    <xf numFmtId="164" fontId="15" fillId="3" borderId="3" xfId="384" applyNumberFormat="1" applyFont="1" applyFill="1" applyBorder="1" applyAlignment="1">
      <alignment horizontal="center" vertical="center" wrapText="1"/>
    </xf>
    <xf numFmtId="164" fontId="15" fillId="3" borderId="21" xfId="384" applyNumberFormat="1" applyFont="1" applyFill="1" applyBorder="1" applyAlignment="1">
      <alignment horizontal="center" vertical="center" wrapText="1"/>
    </xf>
    <xf numFmtId="164" fontId="15" fillId="3" borderId="1" xfId="384" applyNumberFormat="1" applyFont="1" applyFill="1" applyBorder="1" applyAlignment="1">
      <alignment horizontal="center" vertical="center" wrapText="1"/>
    </xf>
    <xf numFmtId="43" fontId="15" fillId="3" borderId="1" xfId="384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vertical="center"/>
    </xf>
    <xf numFmtId="166" fontId="15" fillId="3" borderId="23" xfId="0" applyNumberFormat="1" applyFont="1" applyFill="1" applyBorder="1" applyAlignment="1">
      <alignment vertical="center"/>
    </xf>
    <xf numFmtId="166" fontId="15" fillId="3" borderId="1" xfId="384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/>
    <xf numFmtId="166" fontId="15" fillId="3" borderId="24" xfId="0" applyNumberFormat="1" applyFont="1" applyFill="1" applyBorder="1"/>
    <xf numFmtId="43" fontId="15" fillId="3" borderId="23" xfId="0" applyNumberFormat="1" applyFont="1" applyFill="1" applyBorder="1" applyAlignment="1">
      <alignment vertical="center"/>
    </xf>
    <xf numFmtId="4" fontId="28" fillId="3" borderId="4" xfId="0" applyNumberFormat="1" applyFont="1" applyFill="1" applyBorder="1" applyAlignment="1">
      <alignment vertical="center" wrapText="1"/>
    </xf>
    <xf numFmtId="171" fontId="37" fillId="3" borderId="0" xfId="0" applyNumberFormat="1" applyFont="1" applyFill="1"/>
    <xf numFmtId="164" fontId="18" fillId="3" borderId="40" xfId="0" applyNumberFormat="1" applyFont="1" applyFill="1" applyBorder="1"/>
    <xf numFmtId="4" fontId="15" fillId="3" borderId="3" xfId="0" applyNumberFormat="1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/>
    </xf>
    <xf numFmtId="4" fontId="15" fillId="3" borderId="3" xfId="0" applyNumberFormat="1" applyFont="1" applyFill="1" applyBorder="1"/>
    <xf numFmtId="4" fontId="15" fillId="3" borderId="22" xfId="0" applyNumberFormat="1" applyFont="1" applyFill="1" applyBorder="1"/>
    <xf numFmtId="4" fontId="15" fillId="3" borderId="16" xfId="0" applyNumberFormat="1" applyFont="1" applyFill="1" applyBorder="1"/>
    <xf numFmtId="4" fontId="15" fillId="3" borderId="5" xfId="0" applyNumberFormat="1" applyFont="1" applyFill="1" applyBorder="1"/>
    <xf numFmtId="4" fontId="15" fillId="3" borderId="2" xfId="0" applyNumberFormat="1" applyFont="1" applyFill="1" applyBorder="1" applyAlignment="1">
      <alignment vertical="center" wrapText="1"/>
    </xf>
    <xf numFmtId="4" fontId="15" fillId="3" borderId="26" xfId="0" applyNumberFormat="1" applyFont="1" applyFill="1" applyBorder="1" applyAlignment="1">
      <alignment vertical="center"/>
    </xf>
    <xf numFmtId="164" fontId="15" fillId="3" borderId="2" xfId="384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/>
    <xf numFmtId="4" fontId="15" fillId="3" borderId="27" xfId="0" applyNumberFormat="1" applyFont="1" applyFill="1" applyBorder="1"/>
    <xf numFmtId="4" fontId="15" fillId="3" borderId="13" xfId="0" applyNumberFormat="1" applyFont="1" applyFill="1" applyBorder="1"/>
    <xf numFmtId="4" fontId="15" fillId="3" borderId="8" xfId="0" applyNumberFormat="1" applyFont="1" applyFill="1" applyBorder="1"/>
    <xf numFmtId="0" fontId="26" fillId="3" borderId="1" xfId="0" applyFont="1" applyFill="1" applyBorder="1" applyAlignment="1">
      <alignment vertical="center" wrapText="1"/>
    </xf>
    <xf numFmtId="173" fontId="18" fillId="3" borderId="40" xfId="380" applyNumberFormat="1" applyFont="1" applyFill="1" applyBorder="1"/>
    <xf numFmtId="43" fontId="18" fillId="3" borderId="40" xfId="380" applyFont="1" applyFill="1" applyBorder="1"/>
    <xf numFmtId="43" fontId="15" fillId="3" borderId="1" xfId="380" applyNumberFormat="1" applyFont="1" applyFill="1" applyBorder="1" applyAlignment="1">
      <alignment vertical="center"/>
    </xf>
    <xf numFmtId="166" fontId="15" fillId="3" borderId="3" xfId="380" applyNumberFormat="1" applyFont="1" applyFill="1" applyBorder="1" applyAlignment="1">
      <alignment vertical="center"/>
    </xf>
    <xf numFmtId="164" fontId="15" fillId="3" borderId="1" xfId="380" applyNumberFormat="1" applyFont="1" applyFill="1" applyBorder="1" applyAlignment="1">
      <alignment vertical="center"/>
    </xf>
    <xf numFmtId="166" fontId="15" fillId="3" borderId="2" xfId="380" applyNumberFormat="1" applyFont="1" applyFill="1" applyBorder="1" applyAlignment="1">
      <alignment vertical="center"/>
    </xf>
    <xf numFmtId="179" fontId="18" fillId="3" borderId="40" xfId="380" applyNumberFormat="1" applyFont="1" applyFill="1" applyBorder="1"/>
    <xf numFmtId="4" fontId="22" fillId="3" borderId="41" xfId="0" applyNumberFormat="1" applyFont="1" applyFill="1" applyBorder="1" applyAlignment="1">
      <alignment horizontal="left" vertical="center" wrapText="1"/>
    </xf>
    <xf numFmtId="164" fontId="18" fillId="3" borderId="40" xfId="380" applyNumberFormat="1" applyFont="1" applyFill="1" applyBorder="1"/>
    <xf numFmtId="4" fontId="16" fillId="3" borderId="0" xfId="0" applyNumberFormat="1" applyFont="1" applyFill="1"/>
    <xf numFmtId="175" fontId="16" fillId="3" borderId="0" xfId="0" applyNumberFormat="1" applyFont="1" applyFill="1"/>
    <xf numFmtId="166" fontId="16" fillId="3" borderId="0" xfId="0" applyNumberFormat="1" applyFont="1" applyFill="1"/>
    <xf numFmtId="168" fontId="16" fillId="3" borderId="0" xfId="0" applyNumberFormat="1" applyFont="1" applyFill="1"/>
    <xf numFmtId="0" fontId="3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71" fontId="15" fillId="3" borderId="0" xfId="0" applyNumberFormat="1" applyFont="1" applyFill="1"/>
    <xf numFmtId="177" fontId="18" fillId="3" borderId="15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168" fontId="18" fillId="3" borderId="15" xfId="0" applyNumberFormat="1" applyFont="1" applyFill="1" applyBorder="1" applyAlignment="1">
      <alignment horizontal="center" vertical="center" wrapText="1"/>
    </xf>
    <xf numFmtId="166" fontId="15" fillId="3" borderId="21" xfId="380" applyNumberFormat="1" applyFont="1" applyFill="1" applyBorder="1" applyAlignment="1">
      <alignment vertical="center" wrapText="1"/>
    </xf>
    <xf numFmtId="166" fontId="15" fillId="3" borderId="3" xfId="380" applyNumberFormat="1" applyFont="1" applyFill="1" applyBorder="1" applyAlignment="1">
      <alignment vertical="center" wrapText="1"/>
    </xf>
    <xf numFmtId="166" fontId="15" fillId="3" borderId="22" xfId="380" applyNumberFormat="1" applyFont="1" applyFill="1" applyBorder="1" applyAlignment="1">
      <alignment vertical="center" wrapText="1"/>
    </xf>
    <xf numFmtId="166" fontId="15" fillId="3" borderId="16" xfId="380" applyNumberFormat="1" applyFont="1" applyFill="1" applyBorder="1" applyAlignment="1">
      <alignment vertical="center" wrapText="1"/>
    </xf>
    <xf numFmtId="4" fontId="15" fillId="3" borderId="22" xfId="0" applyNumberFormat="1" applyFont="1" applyFill="1" applyBorder="1" applyAlignment="1">
      <alignment vertical="center" wrapText="1"/>
    </xf>
    <xf numFmtId="4" fontId="15" fillId="3" borderId="5" xfId="0" applyNumberFormat="1" applyFont="1" applyFill="1" applyBorder="1" applyAlignment="1">
      <alignment vertical="center" wrapText="1"/>
    </xf>
    <xf numFmtId="171" fontId="28" fillId="3" borderId="0" xfId="0" applyNumberFormat="1" applyFont="1" applyFill="1"/>
    <xf numFmtId="0" fontId="28" fillId="3" borderId="0" xfId="0" applyFont="1" applyFill="1"/>
    <xf numFmtId="166" fontId="15" fillId="3" borderId="23" xfId="380" applyNumberFormat="1" applyFont="1" applyFill="1" applyBorder="1" applyAlignment="1">
      <alignment vertical="center" wrapText="1"/>
    </xf>
    <xf numFmtId="166" fontId="15" fillId="3" borderId="1" xfId="380" applyNumberFormat="1" applyFont="1" applyFill="1" applyBorder="1" applyAlignment="1">
      <alignment vertical="center" wrapText="1"/>
    </xf>
    <xf numFmtId="166" fontId="15" fillId="3" borderId="24" xfId="380" applyNumberFormat="1" applyFont="1" applyFill="1" applyBorder="1" applyAlignment="1">
      <alignment vertical="center" wrapText="1"/>
    </xf>
    <xf numFmtId="166" fontId="15" fillId="3" borderId="10" xfId="380" applyNumberFormat="1" applyFont="1" applyFill="1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vertical="center" wrapText="1"/>
    </xf>
    <xf numFmtId="166" fontId="15" fillId="3" borderId="24" xfId="380" applyNumberFormat="1" applyFont="1" applyFill="1" applyBorder="1" applyAlignment="1">
      <alignment vertical="center"/>
    </xf>
    <xf numFmtId="166" fontId="15" fillId="3" borderId="10" xfId="380" applyNumberFormat="1" applyFont="1" applyFill="1" applyBorder="1" applyAlignment="1">
      <alignment vertical="center"/>
    </xf>
    <xf numFmtId="164" fontId="15" fillId="3" borderId="23" xfId="380" applyNumberFormat="1" applyFont="1" applyFill="1" applyBorder="1" applyAlignment="1">
      <alignment vertical="center"/>
    </xf>
    <xf numFmtId="4" fontId="15" fillId="3" borderId="24" xfId="0" applyNumberFormat="1" applyFont="1" applyFill="1" applyBorder="1" applyAlignment="1">
      <alignment vertical="center"/>
    </xf>
    <xf numFmtId="171" fontId="26" fillId="3" borderId="0" xfId="376" applyNumberFormat="1" applyFont="1" applyFill="1" applyAlignment="1">
      <alignment vertical="center"/>
    </xf>
    <xf numFmtId="4" fontId="15" fillId="3" borderId="4" xfId="0" applyNumberFormat="1" applyFont="1" applyFill="1" applyBorder="1" applyAlignment="1">
      <alignment vertical="center"/>
    </xf>
    <xf numFmtId="171" fontId="15" fillId="3" borderId="0" xfId="376" applyNumberFormat="1" applyFont="1" applyFill="1" applyAlignment="1">
      <alignment vertical="center"/>
    </xf>
    <xf numFmtId="166" fontId="15" fillId="3" borderId="26" xfId="380" applyNumberFormat="1" applyFont="1" applyFill="1" applyBorder="1" applyAlignment="1">
      <alignment vertical="center"/>
    </xf>
    <xf numFmtId="166" fontId="15" fillId="3" borderId="27" xfId="380" applyNumberFormat="1" applyFont="1" applyFill="1" applyBorder="1" applyAlignment="1">
      <alignment vertical="center"/>
    </xf>
    <xf numFmtId="166" fontId="15" fillId="3" borderId="13" xfId="380" applyNumberFormat="1" applyFont="1" applyFill="1" applyBorder="1" applyAlignment="1">
      <alignment vertical="center"/>
    </xf>
    <xf numFmtId="4" fontId="15" fillId="3" borderId="27" xfId="0" applyNumberFormat="1" applyFont="1" applyFill="1" applyBorder="1" applyAlignment="1">
      <alignment vertical="center"/>
    </xf>
    <xf numFmtId="4" fontId="15" fillId="3" borderId="8" xfId="0" applyNumberFormat="1" applyFont="1" applyFill="1" applyBorder="1" applyAlignment="1">
      <alignment vertical="center"/>
    </xf>
    <xf numFmtId="43" fontId="15" fillId="3" borderId="4" xfId="380" applyNumberFormat="1" applyFont="1" applyFill="1" applyBorder="1" applyAlignment="1">
      <alignment vertical="center"/>
    </xf>
    <xf numFmtId="166" fontId="15" fillId="3" borderId="22" xfId="380" applyNumberFormat="1" applyFont="1" applyFill="1" applyBorder="1" applyAlignment="1">
      <alignment vertical="center"/>
    </xf>
    <xf numFmtId="4" fontId="15" fillId="3" borderId="22" xfId="0" applyNumberFormat="1" applyFont="1" applyFill="1" applyBorder="1" applyAlignment="1">
      <alignment vertical="center"/>
    </xf>
    <xf numFmtId="4" fontId="15" fillId="3" borderId="5" xfId="0" applyNumberFormat="1" applyFont="1" applyFill="1" applyBorder="1" applyAlignment="1">
      <alignment vertical="center"/>
    </xf>
    <xf numFmtId="4" fontId="15" fillId="3" borderId="17" xfId="0" applyNumberFormat="1" applyFont="1" applyFill="1" applyBorder="1" applyAlignment="1">
      <alignment vertical="center"/>
    </xf>
    <xf numFmtId="4" fontId="18" fillId="3" borderId="40" xfId="0" applyNumberFormat="1" applyFont="1" applyFill="1" applyBorder="1"/>
    <xf numFmtId="166" fontId="18" fillId="3" borderId="41" xfId="380" applyNumberFormat="1" applyFont="1" applyFill="1" applyBorder="1"/>
    <xf numFmtId="166" fontId="18" fillId="3" borderId="29" xfId="380" applyNumberFormat="1" applyFont="1" applyFill="1" applyBorder="1"/>
    <xf numFmtId="4" fontId="18" fillId="3" borderId="29" xfId="0" applyNumberFormat="1" applyFont="1" applyFill="1" applyBorder="1"/>
    <xf numFmtId="4" fontId="18" fillId="3" borderId="11" xfId="0" applyNumberFormat="1" applyFont="1" applyFill="1" applyBorder="1"/>
    <xf numFmtId="171" fontId="31" fillId="3" borderId="0" xfId="376" applyNumberFormat="1" applyFont="1" applyFill="1"/>
    <xf numFmtId="171" fontId="31" fillId="3" borderId="0" xfId="376" applyNumberFormat="1" applyFont="1" applyFill="1" applyAlignment="1">
      <alignment vertical="center"/>
    </xf>
    <xf numFmtId="171" fontId="42" fillId="3" borderId="0" xfId="0" applyNumberFormat="1" applyFont="1" applyFill="1"/>
    <xf numFmtId="166" fontId="42" fillId="3" borderId="0" xfId="0" applyNumberFormat="1" applyFont="1" applyFill="1"/>
    <xf numFmtId="168" fontId="42" fillId="3" borderId="0" xfId="0" applyNumberFormat="1" applyFont="1" applyFill="1"/>
    <xf numFmtId="0" fontId="42" fillId="3" borderId="0" xfId="0" applyFont="1" applyFill="1"/>
    <xf numFmtId="4" fontId="18" fillId="3" borderId="30" xfId="0" applyNumberFormat="1" applyFont="1" applyFill="1" applyBorder="1"/>
    <xf numFmtId="166" fontId="18" fillId="3" borderId="31" xfId="380" applyNumberFormat="1" applyFont="1" applyFill="1" applyBorder="1"/>
    <xf numFmtId="4" fontId="39" fillId="3" borderId="20" xfId="0" applyNumberFormat="1" applyFont="1" applyFill="1" applyBorder="1" applyAlignment="1">
      <alignment horizontal="center"/>
    </xf>
    <xf numFmtId="4" fontId="39" fillId="3" borderId="18" xfId="0" applyNumberFormat="1" applyFont="1" applyFill="1" applyBorder="1" applyAlignment="1">
      <alignment horizontal="center"/>
    </xf>
    <xf numFmtId="172" fontId="26" fillId="3" borderId="0" xfId="376" applyNumberFormat="1" applyFont="1" applyFill="1"/>
    <xf numFmtId="166" fontId="15" fillId="3" borderId="21" xfId="380" applyNumberFormat="1" applyFont="1" applyFill="1" applyBorder="1" applyAlignment="1">
      <alignment vertical="center"/>
    </xf>
    <xf numFmtId="166" fontId="15" fillId="3" borderId="3" xfId="380" applyNumberFormat="1" applyFont="1" applyFill="1" applyBorder="1"/>
    <xf numFmtId="166" fontId="15" fillId="3" borderId="22" xfId="380" applyNumberFormat="1" applyFont="1" applyFill="1" applyBorder="1"/>
    <xf numFmtId="166" fontId="15" fillId="3" borderId="16" xfId="380" applyNumberFormat="1" applyFont="1" applyFill="1" applyBorder="1"/>
    <xf numFmtId="166" fontId="15" fillId="3" borderId="21" xfId="380" applyNumberFormat="1" applyFont="1" applyFill="1" applyBorder="1"/>
    <xf numFmtId="166" fontId="15" fillId="3" borderId="23" xfId="380" applyNumberFormat="1" applyFont="1" applyFill="1" applyBorder="1"/>
    <xf numFmtId="43" fontId="15" fillId="3" borderId="1" xfId="380" applyNumberFormat="1" applyFont="1" applyFill="1" applyBorder="1"/>
    <xf numFmtId="43" fontId="15" fillId="3" borderId="24" xfId="380" applyNumberFormat="1" applyFont="1" applyFill="1" applyBorder="1"/>
    <xf numFmtId="43" fontId="15" fillId="3" borderId="23" xfId="380" applyNumberFormat="1" applyFont="1" applyFill="1" applyBorder="1" applyAlignment="1">
      <alignment vertical="center"/>
    </xf>
    <xf numFmtId="43" fontId="15" fillId="3" borderId="10" xfId="380" applyNumberFormat="1" applyFont="1" applyFill="1" applyBorder="1"/>
    <xf numFmtId="43" fontId="15" fillId="3" borderId="23" xfId="380" applyNumberFormat="1" applyFont="1" applyFill="1" applyBorder="1"/>
    <xf numFmtId="166" fontId="18" fillId="3" borderId="23" xfId="380" applyNumberFormat="1" applyFont="1" applyFill="1" applyBorder="1" applyAlignment="1">
      <alignment vertical="center"/>
    </xf>
    <xf numFmtId="166" fontId="18" fillId="3" borderId="1" xfId="380" applyNumberFormat="1" applyFont="1" applyFill="1" applyBorder="1"/>
    <xf numFmtId="166" fontId="18" fillId="3" borderId="24" xfId="380" applyNumberFormat="1" applyFont="1" applyFill="1" applyBorder="1"/>
    <xf numFmtId="166" fontId="18" fillId="3" borderId="10" xfId="380" applyNumberFormat="1" applyFont="1" applyFill="1" applyBorder="1"/>
    <xf numFmtId="4" fontId="18" fillId="3" borderId="1" xfId="0" applyNumberFormat="1" applyFont="1" applyFill="1" applyBorder="1"/>
    <xf numFmtId="4" fontId="18" fillId="3" borderId="24" xfId="0" applyNumberFormat="1" applyFont="1" applyFill="1" applyBorder="1"/>
    <xf numFmtId="4" fontId="18" fillId="3" borderId="4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164" fontId="15" fillId="3" borderId="10" xfId="380" applyNumberFormat="1" applyFont="1" applyFill="1" applyBorder="1" applyAlignment="1">
      <alignment vertical="center"/>
    </xf>
    <xf numFmtId="4" fontId="28" fillId="3" borderId="4" xfId="0" applyNumberFormat="1" applyFont="1" applyFill="1" applyBorder="1" applyAlignment="1">
      <alignment vertical="center"/>
    </xf>
    <xf numFmtId="166" fontId="15" fillId="3" borderId="23" xfId="380" applyNumberFormat="1" applyFont="1" applyFill="1" applyBorder="1" applyAlignment="1">
      <alignment horizontal="justify" vertical="center" wrapText="1"/>
    </xf>
    <xf numFmtId="166" fontId="15" fillId="3" borderId="24" xfId="380" applyNumberFormat="1" applyFont="1" applyFill="1" applyBorder="1" applyAlignment="1">
      <alignment horizontal="justify" vertical="center" wrapText="1"/>
    </xf>
    <xf numFmtId="166" fontId="15" fillId="3" borderId="10" xfId="380" applyNumberFormat="1" applyFont="1" applyFill="1" applyBorder="1" applyAlignment="1">
      <alignment horizontal="justify" vertical="center" wrapText="1"/>
    </xf>
    <xf numFmtId="164" fontId="15" fillId="3" borderId="23" xfId="380" applyNumberFormat="1" applyFont="1" applyFill="1" applyBorder="1" applyAlignment="1">
      <alignment horizontal="justify" vertical="center" wrapText="1"/>
    </xf>
    <xf numFmtId="4" fontId="15" fillId="3" borderId="24" xfId="0" applyNumberFormat="1" applyFont="1" applyFill="1" applyBorder="1" applyAlignment="1">
      <alignment horizontal="justify" vertical="center" wrapText="1"/>
    </xf>
    <xf numFmtId="4" fontId="28" fillId="3" borderId="4" xfId="0" applyNumberFormat="1" applyFont="1" applyFill="1" applyBorder="1" applyAlignment="1">
      <alignment horizontal="justify" vertical="center" wrapText="1"/>
    </xf>
    <xf numFmtId="171" fontId="28" fillId="3" borderId="0" xfId="376" applyNumberFormat="1" applyFont="1" applyFill="1" applyAlignment="1">
      <alignment horizontal="justify" vertical="center" wrapText="1"/>
    </xf>
    <xf numFmtId="171" fontId="37" fillId="3" borderId="0" xfId="0" applyNumberFormat="1" applyFont="1" applyFill="1" applyAlignment="1">
      <alignment horizontal="justify" vertical="center" wrapText="1"/>
    </xf>
    <xf numFmtId="0" fontId="37" fillId="3" borderId="0" xfId="0" applyFont="1" applyFill="1" applyAlignment="1">
      <alignment horizontal="justify" vertical="center" wrapText="1"/>
    </xf>
    <xf numFmtId="4" fontId="18" fillId="3" borderId="13" xfId="0" applyNumberFormat="1" applyFont="1" applyFill="1" applyBorder="1" applyAlignment="1">
      <alignment vertical="center"/>
    </xf>
    <xf numFmtId="166" fontId="18" fillId="3" borderId="34" xfId="380" applyNumberFormat="1" applyFont="1" applyFill="1" applyBorder="1" applyAlignment="1">
      <alignment vertical="center"/>
    </xf>
    <xf numFmtId="166" fontId="18" fillId="3" borderId="35" xfId="380" applyNumberFormat="1" applyFont="1" applyFill="1" applyBorder="1" applyAlignment="1">
      <alignment vertical="center"/>
    </xf>
    <xf numFmtId="166" fontId="18" fillId="3" borderId="33" xfId="380" applyNumberFormat="1" applyFont="1" applyFill="1" applyBorder="1" applyAlignment="1">
      <alignment vertical="center"/>
    </xf>
    <xf numFmtId="4" fontId="18" fillId="3" borderId="34" xfId="0" applyNumberFormat="1" applyFont="1" applyFill="1" applyBorder="1" applyAlignment="1">
      <alignment vertical="center"/>
    </xf>
    <xf numFmtId="4" fontId="18" fillId="3" borderId="35" xfId="0" applyNumberFormat="1" applyFont="1" applyFill="1" applyBorder="1" applyAlignment="1">
      <alignment vertical="center"/>
    </xf>
    <xf numFmtId="4" fontId="18" fillId="3" borderId="36" xfId="0" applyNumberFormat="1" applyFont="1" applyFill="1" applyBorder="1" applyAlignment="1">
      <alignment vertical="center"/>
    </xf>
    <xf numFmtId="178" fontId="28" fillId="3" borderId="0" xfId="376" applyNumberFormat="1" applyFont="1" applyFill="1"/>
    <xf numFmtId="4" fontId="39" fillId="3" borderId="18" xfId="0" applyNumberFormat="1" applyFont="1" applyFill="1" applyBorder="1" applyAlignment="1">
      <alignment horizontal="center" vertical="center"/>
    </xf>
    <xf numFmtId="4" fontId="39" fillId="3" borderId="14" xfId="0" applyNumberFormat="1" applyFont="1" applyFill="1" applyBorder="1" applyAlignment="1">
      <alignment horizontal="center" vertical="center"/>
    </xf>
    <xf numFmtId="166" fontId="18" fillId="3" borderId="3" xfId="380" applyNumberFormat="1" applyFont="1" applyFill="1" applyBorder="1" applyAlignment="1">
      <alignment vertical="center"/>
    </xf>
    <xf numFmtId="166" fontId="18" fillId="3" borderId="22" xfId="380" applyNumberFormat="1" applyFont="1" applyFill="1" applyBorder="1" applyAlignment="1">
      <alignment vertical="center"/>
    </xf>
    <xf numFmtId="43" fontId="18" fillId="3" borderId="3" xfId="380" applyFont="1" applyFill="1" applyBorder="1" applyAlignment="1">
      <alignment vertical="center"/>
    </xf>
    <xf numFmtId="4" fontId="18" fillId="3" borderId="5" xfId="0" applyNumberFormat="1" applyFont="1" applyFill="1" applyBorder="1" applyAlignment="1">
      <alignment vertical="center"/>
    </xf>
    <xf numFmtId="4" fontId="15" fillId="3" borderId="10" xfId="0" applyNumberFormat="1" applyFont="1" applyFill="1" applyBorder="1" applyAlignment="1">
      <alignment vertical="center"/>
    </xf>
    <xf numFmtId="4" fontId="15" fillId="3" borderId="10" xfId="0" applyNumberFormat="1" applyFont="1" applyFill="1" applyBorder="1"/>
    <xf numFmtId="0" fontId="15" fillId="3" borderId="3" xfId="0" applyNumberFormat="1" applyFont="1" applyFill="1" applyBorder="1"/>
    <xf numFmtId="0" fontId="18" fillId="3" borderId="1" xfId="0" applyNumberFormat="1" applyFont="1" applyFill="1" applyBorder="1"/>
    <xf numFmtId="4" fontId="18" fillId="3" borderId="10" xfId="0" applyNumberFormat="1" applyFont="1" applyFill="1" applyBorder="1"/>
    <xf numFmtId="166" fontId="18" fillId="3" borderId="23" xfId="380" applyNumberFormat="1" applyFont="1" applyFill="1" applyBorder="1"/>
    <xf numFmtId="0" fontId="18" fillId="3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left" vertical="center"/>
    </xf>
    <xf numFmtId="43" fontId="18" fillId="3" borderId="1" xfId="380" applyFont="1" applyFill="1" applyBorder="1"/>
    <xf numFmtId="43" fontId="18" fillId="3" borderId="10" xfId="380" applyFont="1" applyFill="1" applyBorder="1"/>
    <xf numFmtId="43" fontId="15" fillId="3" borderId="1" xfId="380" applyFont="1" applyFill="1" applyBorder="1"/>
    <xf numFmtId="43" fontId="15" fillId="3" borderId="10" xfId="380" applyFont="1" applyFill="1" applyBorder="1"/>
    <xf numFmtId="0" fontId="15" fillId="3" borderId="1" xfId="0" applyNumberFormat="1" applyFont="1" applyFill="1" applyBorder="1" applyAlignment="1">
      <alignment horizontal="left" vertical="center"/>
    </xf>
    <xf numFmtId="43" fontId="15" fillId="3" borderId="1" xfId="380" applyFont="1" applyFill="1" applyBorder="1" applyAlignment="1">
      <alignment horizontal="center"/>
    </xf>
    <xf numFmtId="43" fontId="15" fillId="3" borderId="10" xfId="380" applyFont="1" applyFill="1" applyBorder="1" applyAlignment="1">
      <alignment horizontal="center"/>
    </xf>
    <xf numFmtId="166" fontId="15" fillId="3" borderId="23" xfId="380" applyNumberFormat="1" applyFont="1" applyFill="1" applyBorder="1" applyAlignment="1">
      <alignment horizontal="center"/>
    </xf>
    <xf numFmtId="172" fontId="31" fillId="3" borderId="0" xfId="376" applyNumberFormat="1" applyFont="1" applyFill="1"/>
    <xf numFmtId="0" fontId="15" fillId="3" borderId="6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justify" vertical="center" wrapText="1"/>
    </xf>
    <xf numFmtId="166" fontId="15" fillId="3" borderId="7" xfId="380" applyNumberFormat="1" applyFont="1" applyFill="1" applyBorder="1"/>
    <xf numFmtId="166" fontId="15" fillId="3" borderId="25" xfId="380" applyNumberFormat="1" applyFont="1" applyFill="1" applyBorder="1"/>
    <xf numFmtId="43" fontId="15" fillId="3" borderId="7" xfId="380" applyFont="1" applyFill="1" applyBorder="1"/>
    <xf numFmtId="43" fontId="15" fillId="3" borderId="39" xfId="380" applyFont="1" applyFill="1" applyBorder="1"/>
    <xf numFmtId="4" fontId="15" fillId="3" borderId="0" xfId="0" applyNumberFormat="1" applyFont="1" applyFill="1" applyBorder="1"/>
    <xf numFmtId="0" fontId="18" fillId="3" borderId="40" xfId="0" applyNumberFormat="1" applyFont="1" applyFill="1" applyBorder="1"/>
    <xf numFmtId="166" fontId="18" fillId="3" borderId="41" xfId="380" applyNumberFormat="1" applyFont="1" applyFill="1" applyBorder="1" applyAlignment="1">
      <alignment horizontal="center"/>
    </xf>
    <xf numFmtId="166" fontId="18" fillId="3" borderId="29" xfId="380" applyNumberFormat="1" applyFont="1" applyFill="1" applyBorder="1" applyAlignment="1">
      <alignment horizontal="center"/>
    </xf>
    <xf numFmtId="43" fontId="18" fillId="3" borderId="41" xfId="380" applyFont="1" applyFill="1" applyBorder="1" applyAlignment="1">
      <alignment horizontal="center"/>
    </xf>
    <xf numFmtId="43" fontId="18" fillId="3" borderId="28" xfId="380" applyFont="1" applyFill="1" applyBorder="1" applyAlignment="1">
      <alignment horizontal="center"/>
    </xf>
    <xf numFmtId="0" fontId="18" fillId="3" borderId="30" xfId="0" applyNumberFormat="1" applyFont="1" applyFill="1" applyBorder="1"/>
    <xf numFmtId="166" fontId="18" fillId="3" borderId="31" xfId="380" applyNumberFormat="1" applyFont="1" applyFill="1" applyBorder="1" applyAlignment="1">
      <alignment horizontal="center"/>
    </xf>
    <xf numFmtId="43" fontId="18" fillId="3" borderId="31" xfId="380" applyFont="1" applyFill="1" applyBorder="1" applyAlignment="1">
      <alignment horizontal="center"/>
    </xf>
    <xf numFmtId="172" fontId="28" fillId="3" borderId="0" xfId="376" applyNumberFormat="1" applyFont="1" applyFill="1"/>
    <xf numFmtId="4" fontId="18" fillId="3" borderId="37" xfId="0" applyNumberFormat="1" applyFont="1" applyFill="1" applyBorder="1" applyAlignment="1">
      <alignment horizont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8" xfId="0" applyNumberFormat="1" applyFont="1" applyFill="1" applyBorder="1" applyAlignment="1">
      <alignment horizontal="center"/>
    </xf>
    <xf numFmtId="4" fontId="18" fillId="3" borderId="20" xfId="0" applyNumberFormat="1" applyFont="1" applyFill="1" applyBorder="1" applyAlignment="1">
      <alignment horizontal="center"/>
    </xf>
    <xf numFmtId="166" fontId="15" fillId="3" borderId="3" xfId="0" applyNumberFormat="1" applyFont="1" applyFill="1" applyBorder="1"/>
    <xf numFmtId="166" fontId="15" fillId="3" borderId="22" xfId="0" applyNumberFormat="1" applyFont="1" applyFill="1" applyBorder="1"/>
    <xf numFmtId="0" fontId="15" fillId="3" borderId="10" xfId="0" applyNumberFormat="1" applyFont="1" applyFill="1" applyBorder="1" applyAlignment="1">
      <alignment horizontal="left" vertical="center"/>
    </xf>
    <xf numFmtId="171" fontId="43" fillId="3" borderId="0" xfId="0" applyNumberFormat="1" applyFont="1" applyFill="1"/>
    <xf numFmtId="0" fontId="15" fillId="3" borderId="10" xfId="0" applyNumberFormat="1" applyFont="1" applyFill="1" applyBorder="1"/>
    <xf numFmtId="171" fontId="14" fillId="3" borderId="0" xfId="376" applyNumberFormat="1" applyFont="1" applyFill="1" applyAlignment="1">
      <alignment vertical="center"/>
    </xf>
    <xf numFmtId="166" fontId="18" fillId="3" borderId="41" xfId="0" applyNumberFormat="1" applyFont="1" applyFill="1" applyBorder="1"/>
    <xf numFmtId="166" fontId="18" fillId="3" borderId="29" xfId="0" applyNumberFormat="1" applyFont="1" applyFill="1" applyBorder="1"/>
    <xf numFmtId="166" fontId="18" fillId="3" borderId="28" xfId="380" applyNumberFormat="1" applyFont="1" applyFill="1" applyBorder="1"/>
    <xf numFmtId="4" fontId="18" fillId="3" borderId="41" xfId="0" applyNumberFormat="1" applyFont="1" applyFill="1" applyBorder="1"/>
    <xf numFmtId="171" fontId="44" fillId="3" borderId="0" xfId="0" applyNumberFormat="1" applyFont="1" applyFill="1"/>
    <xf numFmtId="0" fontId="44" fillId="3" borderId="0" xfId="0" applyFont="1" applyFill="1"/>
    <xf numFmtId="178" fontId="15" fillId="3" borderId="26" xfId="0" applyNumberFormat="1" applyFont="1" applyFill="1" applyBorder="1" applyAlignment="1">
      <alignment vertical="center"/>
    </xf>
    <xf numFmtId="4" fontId="18" fillId="3" borderId="28" xfId="0" applyNumberFormat="1" applyFont="1" applyFill="1" applyBorder="1"/>
    <xf numFmtId="43" fontId="42" fillId="3" borderId="0" xfId="0" applyNumberFormat="1" applyFont="1" applyFill="1"/>
    <xf numFmtId="43" fontId="44" fillId="3" borderId="0" xfId="0" applyNumberFormat="1" applyFont="1" applyFill="1"/>
    <xf numFmtId="166" fontId="15" fillId="3" borderId="16" xfId="380" applyNumberFormat="1" applyFont="1" applyFill="1" applyBorder="1" applyAlignment="1">
      <alignment vertical="center"/>
    </xf>
    <xf numFmtId="4" fontId="15" fillId="3" borderId="23" xfId="0" applyNumberFormat="1" applyFont="1" applyFill="1" applyBorder="1" applyAlignment="1">
      <alignment vertical="center"/>
    </xf>
    <xf numFmtId="171" fontId="18" fillId="3" borderId="0" xfId="0" applyNumberFormat="1" applyFont="1" applyFill="1"/>
    <xf numFmtId="0" fontId="18" fillId="3" borderId="0" xfId="0" applyFont="1" applyFill="1"/>
    <xf numFmtId="166" fontId="15" fillId="3" borderId="2" xfId="380" applyNumberFormat="1" applyFont="1" applyFill="1" applyBorder="1"/>
    <xf numFmtId="166" fontId="15" fillId="3" borderId="27" xfId="380" applyNumberFormat="1" applyFont="1" applyFill="1" applyBorder="1"/>
    <xf numFmtId="166" fontId="15" fillId="3" borderId="13" xfId="380" applyNumberFormat="1" applyFont="1" applyFill="1" applyBorder="1"/>
    <xf numFmtId="166" fontId="15" fillId="3" borderId="8" xfId="380" applyNumberFormat="1" applyFont="1" applyFill="1" applyBorder="1" applyAlignment="1">
      <alignment vertical="center"/>
    </xf>
    <xf numFmtId="171" fontId="26" fillId="3" borderId="0" xfId="376" applyNumberFormat="1" applyFont="1" applyFill="1"/>
    <xf numFmtId="4" fontId="37" fillId="3" borderId="40" xfId="0" applyNumberFormat="1" applyFont="1" applyFill="1" applyBorder="1"/>
    <xf numFmtId="173" fontId="18" fillId="3" borderId="41" xfId="0" applyNumberFormat="1" applyFont="1" applyFill="1" applyBorder="1"/>
    <xf numFmtId="173" fontId="18" fillId="3" borderId="29" xfId="0" applyNumberFormat="1" applyFont="1" applyFill="1" applyBorder="1"/>
    <xf numFmtId="173" fontId="18" fillId="3" borderId="28" xfId="0" applyNumberFormat="1" applyFont="1" applyFill="1" applyBorder="1"/>
    <xf numFmtId="166" fontId="22" fillId="3" borderId="41" xfId="0" applyNumberFormat="1" applyFont="1" applyFill="1" applyBorder="1"/>
    <xf numFmtId="166" fontId="22" fillId="3" borderId="29" xfId="0" applyNumberFormat="1" applyFont="1" applyFill="1" applyBorder="1"/>
    <xf numFmtId="4" fontId="22" fillId="3" borderId="11" xfId="0" applyNumberFormat="1" applyFont="1" applyFill="1" applyBorder="1"/>
    <xf numFmtId="168" fontId="37" fillId="3" borderId="0" xfId="0" applyNumberFormat="1" applyFont="1" applyFill="1"/>
    <xf numFmtId="166" fontId="37" fillId="3" borderId="0" xfId="0" applyNumberFormat="1" applyFont="1" applyFill="1" applyAlignment="1">
      <alignment vertical="center"/>
    </xf>
    <xf numFmtId="175" fontId="37" fillId="3" borderId="0" xfId="0" applyNumberFormat="1" applyFont="1" applyFill="1" applyAlignment="1">
      <alignment vertical="center"/>
    </xf>
    <xf numFmtId="4" fontId="15" fillId="3" borderId="18" xfId="0" applyNumberFormat="1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center" vertical="top"/>
    </xf>
    <xf numFmtId="4" fontId="15" fillId="3" borderId="28" xfId="0" applyNumberFormat="1" applyFont="1" applyFill="1" applyBorder="1" applyAlignment="1">
      <alignment horizontal="center" vertical="top" wrapText="1"/>
    </xf>
    <xf numFmtId="4" fontId="15" fillId="3" borderId="31" xfId="0" applyNumberFormat="1" applyFont="1" applyFill="1" applyBorder="1" applyAlignment="1">
      <alignment horizontal="center" vertical="top" wrapText="1"/>
    </xf>
    <xf numFmtId="4" fontId="18" fillId="3" borderId="33" xfId="0" applyNumberFormat="1" applyFont="1" applyFill="1" applyBorder="1" applyAlignment="1">
      <alignment horizontal="center" vertical="top"/>
    </xf>
    <xf numFmtId="4" fontId="15" fillId="3" borderId="13" xfId="0" applyNumberFormat="1" applyFont="1" applyFill="1" applyBorder="1" applyAlignment="1">
      <alignment horizontal="center" vertical="top" wrapText="1"/>
    </xf>
    <xf numFmtId="4" fontId="18" fillId="3" borderId="28" xfId="0" applyNumberFormat="1" applyFont="1" applyFill="1" applyBorder="1" applyAlignment="1">
      <alignment horizontal="center" vertical="top"/>
    </xf>
    <xf numFmtId="4" fontId="18" fillId="3" borderId="31" xfId="0" applyNumberFormat="1" applyFont="1" applyFill="1" applyBorder="1" applyAlignment="1">
      <alignment horizontal="center" vertical="top"/>
    </xf>
    <xf numFmtId="4" fontId="15" fillId="3" borderId="42" xfId="0" applyNumberFormat="1" applyFont="1" applyFill="1" applyBorder="1" applyAlignment="1">
      <alignment horizontal="center" vertical="top" wrapText="1"/>
    </xf>
    <xf numFmtId="4" fontId="37" fillId="3" borderId="28" xfId="0" applyNumberFormat="1" applyFont="1" applyFill="1" applyBorder="1" applyAlignment="1">
      <alignment horizontal="center" vertical="top"/>
    </xf>
    <xf numFmtId="4" fontId="25" fillId="3" borderId="10" xfId="0" applyNumberFormat="1" applyFont="1" applyFill="1" applyBorder="1" applyAlignment="1">
      <alignment horizontal="center" vertical="top" wrapText="1"/>
    </xf>
    <xf numFmtId="4" fontId="15" fillId="3" borderId="49" xfId="0" applyNumberFormat="1" applyFont="1" applyFill="1" applyBorder="1" applyAlignment="1">
      <alignment horizontal="center" vertical="top" wrapText="1"/>
    </xf>
    <xf numFmtId="4" fontId="15" fillId="3" borderId="39" xfId="0" applyNumberFormat="1" applyFont="1" applyFill="1" applyBorder="1" applyAlignment="1">
      <alignment horizontal="center" vertical="top" wrapText="1"/>
    </xf>
    <xf numFmtId="166" fontId="15" fillId="3" borderId="5" xfId="380" applyNumberFormat="1" applyFont="1" applyFill="1" applyBorder="1" applyAlignment="1">
      <alignment vertical="center" wrapText="1"/>
    </xf>
    <xf numFmtId="166" fontId="15" fillId="3" borderId="4" xfId="380" applyNumberFormat="1" applyFont="1" applyFill="1" applyBorder="1" applyAlignment="1">
      <alignment vertical="center" wrapText="1"/>
    </xf>
    <xf numFmtId="166" fontId="18" fillId="3" borderId="50" xfId="380" applyNumberFormat="1" applyFont="1" applyFill="1" applyBorder="1" applyAlignment="1">
      <alignment vertical="center"/>
    </xf>
    <xf numFmtId="166" fontId="18" fillId="3" borderId="4" xfId="380" applyNumberFormat="1" applyFont="1" applyFill="1" applyBorder="1" applyAlignment="1">
      <alignment vertical="center"/>
    </xf>
    <xf numFmtId="164" fontId="15" fillId="3" borderId="4" xfId="380" applyNumberFormat="1" applyFont="1" applyFill="1" applyBorder="1" applyAlignment="1">
      <alignment vertical="center"/>
    </xf>
    <xf numFmtId="166" fontId="15" fillId="3" borderId="4" xfId="380" applyNumberFormat="1" applyFont="1" applyFill="1" applyBorder="1" applyAlignment="1">
      <alignment horizontal="justify" vertical="center" wrapText="1"/>
    </xf>
    <xf numFmtId="166" fontId="18" fillId="3" borderId="51" xfId="380" applyNumberFormat="1" applyFont="1" applyFill="1" applyBorder="1" applyAlignment="1">
      <alignment vertical="center"/>
    </xf>
    <xf numFmtId="166" fontId="15" fillId="3" borderId="5" xfId="380" applyNumberFormat="1" applyFont="1" applyFill="1" applyBorder="1" applyAlignment="1">
      <alignment horizontal="center" vertical="center" wrapText="1"/>
    </xf>
    <xf numFmtId="166" fontId="18" fillId="3" borderId="4" xfId="380" applyNumberFormat="1" applyFont="1" applyFill="1" applyBorder="1" applyAlignment="1">
      <alignment horizontal="center" vertical="center" wrapText="1"/>
    </xf>
    <xf numFmtId="43" fontId="18" fillId="3" borderId="50" xfId="38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4" fontId="18" fillId="3" borderId="4" xfId="0" applyNumberFormat="1" applyFont="1" applyFill="1" applyBorder="1" applyAlignment="1">
      <alignment horizontal="center"/>
    </xf>
    <xf numFmtId="43" fontId="18" fillId="3" borderId="50" xfId="380" applyFont="1" applyFill="1" applyBorder="1"/>
    <xf numFmtId="164" fontId="18" fillId="3" borderId="50" xfId="380" applyNumberFormat="1" applyFont="1" applyFill="1" applyBorder="1"/>
    <xf numFmtId="0" fontId="37" fillId="3" borderId="52" xfId="0" applyFont="1" applyFill="1" applyBorder="1" applyAlignment="1">
      <alignment vertical="center"/>
    </xf>
    <xf numFmtId="0" fontId="16" fillId="3" borderId="0" xfId="0" applyFont="1" applyFill="1" applyBorder="1"/>
    <xf numFmtId="0" fontId="37" fillId="3" borderId="0" xfId="0" applyFont="1" applyFill="1" applyBorder="1"/>
    <xf numFmtId="0" fontId="37" fillId="3" borderId="53" xfId="0" applyFont="1" applyFill="1" applyBorder="1"/>
    <xf numFmtId="0" fontId="15" fillId="3" borderId="26" xfId="0" applyFont="1" applyFill="1" applyBorder="1" applyAlignment="1">
      <alignment horizontal="center" vertical="center" wrapText="1"/>
    </xf>
    <xf numFmtId="166" fontId="15" fillId="3" borderId="56" xfId="380" applyNumberFormat="1" applyFont="1" applyFill="1" applyBorder="1" applyAlignment="1">
      <alignment vertical="center"/>
    </xf>
    <xf numFmtId="166" fontId="18" fillId="3" borderId="30" xfId="380" applyNumberFormat="1" applyFont="1" applyFill="1" applyBorder="1" applyAlignment="1">
      <alignment vertical="center"/>
    </xf>
    <xf numFmtId="166" fontId="18" fillId="3" borderId="11" xfId="380" applyNumberFormat="1" applyFont="1" applyFill="1" applyBorder="1"/>
    <xf numFmtId="4" fontId="39" fillId="3" borderId="57" xfId="0" applyNumberFormat="1" applyFont="1" applyFill="1" applyBorder="1" applyAlignment="1">
      <alignment horizontal="center" vertical="center"/>
    </xf>
    <xf numFmtId="166" fontId="18" fillId="3" borderId="21" xfId="380" applyNumberFormat="1" applyFont="1" applyFill="1" applyBorder="1" applyAlignment="1">
      <alignment horizontal="center" vertical="center" wrapText="1"/>
    </xf>
    <xf numFmtId="166" fontId="18" fillId="3" borderId="23" xfId="380" applyNumberFormat="1" applyFont="1" applyFill="1" applyBorder="1" applyAlignment="1">
      <alignment horizontal="center" vertical="center" wrapText="1"/>
    </xf>
    <xf numFmtId="43" fontId="18" fillId="3" borderId="23" xfId="380" applyNumberFormat="1" applyFont="1" applyFill="1" applyBorder="1" applyAlignment="1">
      <alignment horizontal="center" vertical="center" wrapText="1"/>
    </xf>
    <xf numFmtId="43" fontId="15" fillId="3" borderId="24" xfId="380" applyNumberFormat="1" applyFont="1" applyFill="1" applyBorder="1" applyAlignment="1">
      <alignment vertical="center"/>
    </xf>
    <xf numFmtId="43" fontId="18" fillId="3" borderId="40" xfId="380" applyNumberFormat="1" applyFont="1" applyFill="1" applyBorder="1" applyAlignment="1">
      <alignment horizontal="center"/>
    </xf>
    <xf numFmtId="43" fontId="18" fillId="3" borderId="30" xfId="380" applyNumberFormat="1" applyFont="1" applyFill="1" applyBorder="1" applyAlignment="1">
      <alignment horizontal="center"/>
    </xf>
    <xf numFmtId="166" fontId="18" fillId="3" borderId="11" xfId="380" applyNumberFormat="1" applyFont="1" applyFill="1" applyBorder="1" applyAlignment="1">
      <alignment horizontal="center"/>
    </xf>
    <xf numFmtId="4" fontId="18" fillId="3" borderId="57" xfId="0" applyNumberFormat="1" applyFont="1" applyFill="1" applyBorder="1" applyAlignment="1">
      <alignment horizontal="center"/>
    </xf>
    <xf numFmtId="4" fontId="18" fillId="3" borderId="23" xfId="0" applyNumberFormat="1" applyFont="1" applyFill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6" fillId="3" borderId="0" xfId="0" applyNumberFormat="1" applyFont="1" applyFill="1" applyBorder="1"/>
    <xf numFmtId="166" fontId="37" fillId="3" borderId="52" xfId="0" applyNumberFormat="1" applyFont="1" applyFill="1" applyBorder="1" applyAlignment="1">
      <alignment vertical="center"/>
    </xf>
    <xf numFmtId="175" fontId="16" fillId="3" borderId="0" xfId="0" applyNumberFormat="1" applyFont="1" applyFill="1" applyBorder="1"/>
    <xf numFmtId="175" fontId="16" fillId="3" borderId="53" xfId="0" applyNumberFormat="1" applyFont="1" applyFill="1" applyBorder="1"/>
    <xf numFmtId="166" fontId="16" fillId="3" borderId="0" xfId="0" applyNumberFormat="1" applyFont="1" applyFill="1" applyBorder="1"/>
    <xf numFmtId="164" fontId="37" fillId="3" borderId="52" xfId="0" applyNumberFormat="1" applyFont="1" applyFill="1" applyBorder="1" applyAlignment="1">
      <alignment vertical="center"/>
    </xf>
    <xf numFmtId="176" fontId="37" fillId="3" borderId="52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9" xfId="0" applyFont="1" applyFill="1" applyBorder="1"/>
    <xf numFmtId="0" fontId="15" fillId="3" borderId="13" xfId="0" applyFont="1" applyFill="1" applyBorder="1" applyAlignment="1">
      <alignment horizontal="center" vertical="center" wrapText="1"/>
    </xf>
    <xf numFmtId="166" fontId="15" fillId="3" borderId="39" xfId="380" applyNumberFormat="1" applyFont="1" applyFill="1" applyBorder="1" applyAlignment="1">
      <alignment vertical="center"/>
    </xf>
    <xf numFmtId="43" fontId="18" fillId="3" borderId="10" xfId="380" applyFont="1" applyFill="1" applyBorder="1" applyAlignment="1">
      <alignment vertical="center"/>
    </xf>
    <xf numFmtId="43" fontId="15" fillId="3" borderId="10" xfId="38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horizontal="center"/>
    </xf>
    <xf numFmtId="0" fontId="37" fillId="3" borderId="52" xfId="0" applyFont="1" applyFill="1" applyBorder="1"/>
    <xf numFmtId="0" fontId="26" fillId="3" borderId="0" xfId="0" applyFont="1" applyFill="1" applyBorder="1"/>
    <xf numFmtId="43" fontId="15" fillId="3" borderId="58" xfId="380" applyNumberFormat="1" applyFont="1" applyFill="1" applyBorder="1" applyAlignment="1">
      <alignment horizontal="right" vertical="center"/>
    </xf>
    <xf numFmtId="4" fontId="37" fillId="3" borderId="0" xfId="0" applyNumberFormat="1" applyFont="1" applyFill="1" applyBorder="1"/>
    <xf numFmtId="175" fontId="16" fillId="3" borderId="52" xfId="0" applyNumberFormat="1" applyFont="1" applyFill="1" applyBorder="1"/>
    <xf numFmtId="175" fontId="37" fillId="3" borderId="52" xfId="0" applyNumberFormat="1" applyFont="1" applyFill="1" applyBorder="1"/>
    <xf numFmtId="175" fontId="37" fillId="3" borderId="0" xfId="0" applyNumberFormat="1" applyFont="1" applyFill="1" applyBorder="1"/>
    <xf numFmtId="167" fontId="37" fillId="3" borderId="52" xfId="0" applyNumberFormat="1" applyFont="1" applyFill="1" applyBorder="1"/>
    <xf numFmtId="168" fontId="37" fillId="3" borderId="0" xfId="0" applyNumberFormat="1" applyFont="1" applyFill="1" applyBorder="1"/>
    <xf numFmtId="0" fontId="15" fillId="3" borderId="1" xfId="0" applyFont="1" applyFill="1" applyBorder="1" applyAlignment="1">
      <alignment horizontal="justify" vertical="top"/>
    </xf>
    <xf numFmtId="167" fontId="15" fillId="3" borderId="1" xfId="0" applyNumberFormat="1" applyFont="1" applyFill="1" applyBorder="1" applyAlignment="1">
      <alignment horizontal="justify" vertical="top" wrapText="1"/>
    </xf>
    <xf numFmtId="0" fontId="23" fillId="3" borderId="1" xfId="0" applyFont="1" applyFill="1" applyBorder="1" applyAlignment="1">
      <alignment horizontal="justify" vertical="top"/>
    </xf>
    <xf numFmtId="167" fontId="15" fillId="3" borderId="1" xfId="0" applyNumberFormat="1" applyFont="1" applyFill="1" applyBorder="1" applyAlignment="1">
      <alignment horizontal="justify" vertical="top"/>
    </xf>
    <xf numFmtId="0" fontId="14" fillId="3" borderId="1" xfId="0" applyFont="1" applyFill="1" applyBorder="1" applyAlignment="1">
      <alignment horizontal="justify" vertical="top"/>
    </xf>
    <xf numFmtId="0" fontId="15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justify" vertical="top"/>
    </xf>
    <xf numFmtId="0" fontId="15" fillId="3" borderId="2" xfId="0" applyFont="1" applyFill="1" applyBorder="1" applyAlignment="1">
      <alignment horizontal="justify" vertical="top"/>
    </xf>
    <xf numFmtId="0" fontId="26" fillId="3" borderId="1" xfId="0" applyFont="1" applyFill="1" applyBorder="1" applyAlignment="1">
      <alignment horizontal="justify" vertical="top"/>
    </xf>
    <xf numFmtId="167" fontId="15" fillId="3" borderId="2" xfId="0" applyNumberFormat="1" applyFont="1" applyFill="1" applyBorder="1" applyAlignment="1">
      <alignment vertical="top" wrapText="1"/>
    </xf>
    <xf numFmtId="174" fontId="15" fillId="3" borderId="1" xfId="391" applyNumberFormat="1" applyFont="1" applyFill="1" applyBorder="1" applyAlignment="1">
      <alignment horizontal="center" vertical="center" wrapText="1"/>
    </xf>
    <xf numFmtId="174" fontId="18" fillId="3" borderId="1" xfId="0" applyNumberFormat="1" applyFont="1" applyFill="1" applyBorder="1" applyAlignment="1">
      <alignment horizontal="center" vertical="center" wrapText="1"/>
    </xf>
    <xf numFmtId="174" fontId="18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justify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top" wrapText="1"/>
    </xf>
    <xf numFmtId="4" fontId="15" fillId="3" borderId="2" xfId="0" applyNumberFormat="1" applyFont="1" applyFill="1" applyBorder="1" applyAlignment="1">
      <alignment horizontal="justify" vertical="center" wrapText="1"/>
    </xf>
    <xf numFmtId="4" fontId="15" fillId="3" borderId="3" xfId="0" applyNumberFormat="1" applyFont="1" applyFill="1" applyBorder="1" applyAlignment="1">
      <alignment horizontal="justify" vertical="center" wrapText="1"/>
    </xf>
    <xf numFmtId="4" fontId="15" fillId="3" borderId="10" xfId="0" applyNumberFormat="1" applyFont="1" applyFill="1" applyBorder="1" applyAlignment="1">
      <alignment horizontal="center" vertical="top" wrapText="1"/>
    </xf>
    <xf numFmtId="175" fontId="15" fillId="3" borderId="1" xfId="0" applyNumberFormat="1" applyFont="1" applyFill="1" applyBorder="1" applyAlignment="1">
      <alignment vertical="center"/>
    </xf>
    <xf numFmtId="4" fontId="25" fillId="3" borderId="20" xfId="0" applyNumberFormat="1" applyFont="1" applyFill="1" applyBorder="1" applyAlignment="1">
      <alignment horizontal="center" vertical="top" wrapText="1"/>
    </xf>
    <xf numFmtId="167" fontId="37" fillId="3" borderId="0" xfId="0" applyNumberFormat="1" applyFont="1" applyFill="1"/>
    <xf numFmtId="177" fontId="18" fillId="3" borderId="14" xfId="0" applyNumberFormat="1" applyFont="1" applyFill="1" applyBorder="1" applyAlignment="1">
      <alignment horizontal="center" vertical="center" wrapText="1"/>
    </xf>
    <xf numFmtId="177" fontId="18" fillId="3" borderId="20" xfId="0" applyNumberFormat="1" applyFont="1" applyFill="1" applyBorder="1" applyAlignment="1">
      <alignment horizontal="center" vertical="center" wrapText="1"/>
    </xf>
    <xf numFmtId="166" fontId="15" fillId="3" borderId="8" xfId="38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top" wrapText="1"/>
    </xf>
    <xf numFmtId="4" fontId="18" fillId="3" borderId="49" xfId="0" applyNumberFormat="1" applyFont="1" applyFill="1" applyBorder="1" applyAlignment="1">
      <alignment horizontal="center"/>
    </xf>
    <xf numFmtId="4" fontId="18" fillId="3" borderId="38" xfId="0" applyNumberFormat="1" applyFont="1" applyFill="1" applyBorder="1" applyAlignment="1">
      <alignment horizontal="center"/>
    </xf>
    <xf numFmtId="4" fontId="18" fillId="3" borderId="37" xfId="0" applyNumberFormat="1" applyFont="1" applyFill="1" applyBorder="1" applyAlignment="1">
      <alignment horizontal="center" vertical="center"/>
    </xf>
    <xf numFmtId="4" fontId="18" fillId="3" borderId="15" xfId="0" applyNumberFormat="1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 vertical="center"/>
    </xf>
    <xf numFmtId="4" fontId="18" fillId="3" borderId="57" xfId="0" applyNumberFormat="1" applyFont="1" applyFill="1" applyBorder="1" applyAlignment="1">
      <alignment horizontal="center" vertical="center"/>
    </xf>
    <xf numFmtId="166" fontId="15" fillId="3" borderId="21" xfId="380" applyNumberFormat="1" applyFont="1" applyFill="1" applyBorder="1" applyAlignment="1">
      <alignment horizontal="center" vertical="center" wrapText="1"/>
    </xf>
    <xf numFmtId="43" fontId="18" fillId="3" borderId="1" xfId="380" applyNumberFormat="1" applyFont="1" applyFill="1" applyBorder="1" applyAlignment="1">
      <alignment vertical="center"/>
    </xf>
    <xf numFmtId="43" fontId="18" fillId="3" borderId="23" xfId="380" applyNumberFormat="1" applyFont="1" applyFill="1" applyBorder="1" applyAlignment="1">
      <alignment vertical="center"/>
    </xf>
    <xf numFmtId="43" fontId="18" fillId="3" borderId="4" xfId="380" applyNumberFormat="1" applyFont="1" applyFill="1" applyBorder="1" applyAlignment="1">
      <alignment vertical="center"/>
    </xf>
    <xf numFmtId="174" fontId="18" fillId="3" borderId="15" xfId="0" applyNumberFormat="1" applyFont="1" applyFill="1" applyBorder="1" applyAlignment="1">
      <alignment horizontal="center"/>
    </xf>
    <xf numFmtId="43" fontId="15" fillId="3" borderId="5" xfId="380" applyNumberFormat="1" applyFont="1" applyFill="1" applyBorder="1" applyAlignment="1">
      <alignment vertical="center"/>
    </xf>
    <xf numFmtId="166" fontId="15" fillId="3" borderId="58" xfId="380" applyNumberFormat="1" applyFont="1" applyFill="1" applyBorder="1" applyAlignment="1">
      <alignment vertical="center"/>
    </xf>
    <xf numFmtId="43" fontId="15" fillId="3" borderId="1" xfId="380" applyFont="1" applyFill="1" applyBorder="1" applyAlignment="1">
      <alignment horizontal="justify" vertical="top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/>
    <xf numFmtId="0" fontId="46" fillId="0" borderId="1" xfId="0" applyFont="1" applyBorder="1" applyAlignment="1">
      <alignment horizontal="justify" vertical="center" wrapText="1"/>
    </xf>
    <xf numFmtId="4" fontId="25" fillId="3" borderId="2" xfId="0" applyNumberFormat="1" applyFont="1" applyFill="1" applyBorder="1" applyAlignment="1">
      <alignment vertical="top" wrapText="1"/>
    </xf>
    <xf numFmtId="4" fontId="25" fillId="3" borderId="7" xfId="0" applyNumberFormat="1" applyFont="1" applyFill="1" applyBorder="1" applyAlignment="1">
      <alignment vertical="top" wrapText="1"/>
    </xf>
    <xf numFmtId="0" fontId="15" fillId="3" borderId="3" xfId="0" applyFont="1" applyFill="1" applyBorder="1" applyAlignment="1"/>
    <xf numFmtId="4" fontId="38" fillId="3" borderId="2" xfId="0" applyNumberFormat="1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15" fillId="3" borderId="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6" xfId="0" applyFont="1" applyFill="1" applyBorder="1" applyAlignment="1">
      <alignment horizontal="left" vertical="top" wrapText="1"/>
    </xf>
    <xf numFmtId="4" fontId="25" fillId="3" borderId="2" xfId="0" applyNumberFormat="1" applyFont="1" applyFill="1" applyBorder="1" applyAlignment="1">
      <alignment vertical="center" wrapText="1"/>
    </xf>
    <xf numFmtId="43" fontId="15" fillId="3" borderId="1" xfId="0" applyNumberFormat="1" applyFont="1" applyFill="1" applyBorder="1" applyAlignment="1">
      <alignment horizontal="right" vertical="center" wrapText="1"/>
    </xf>
    <xf numFmtId="4" fontId="25" fillId="3" borderId="24" xfId="0" applyNumberFormat="1" applyFont="1" applyFill="1" applyBorder="1" applyAlignment="1">
      <alignment horizontal="left" vertical="top" wrapText="1"/>
    </xf>
    <xf numFmtId="14" fontId="15" fillId="3" borderId="10" xfId="391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wrapText="1"/>
    </xf>
    <xf numFmtId="2" fontId="24" fillId="3" borderId="4" xfId="0" applyNumberFormat="1" applyFont="1" applyFill="1" applyBorder="1" applyAlignment="1"/>
    <xf numFmtId="2" fontId="24" fillId="3" borderId="1" xfId="0" applyNumberFormat="1" applyFont="1" applyFill="1" applyBorder="1" applyAlignment="1"/>
    <xf numFmtId="0" fontId="15" fillId="3" borderId="2" xfId="0" applyFont="1" applyFill="1" applyBorder="1" applyAlignment="1">
      <alignment horizontal="justify" vertical="top" wrapText="1"/>
    </xf>
    <xf numFmtId="4" fontId="15" fillId="3" borderId="16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top" wrapText="1"/>
    </xf>
    <xf numFmtId="43" fontId="15" fillId="3" borderId="1" xfId="380" applyFont="1" applyFill="1" applyBorder="1" applyAlignment="1">
      <alignment vertical="center" wrapText="1"/>
    </xf>
    <xf numFmtId="0" fontId="28" fillId="3" borderId="1" xfId="0" applyFont="1" applyFill="1" applyBorder="1" applyAlignment="1">
      <alignment wrapText="1"/>
    </xf>
    <xf numFmtId="0" fontId="15" fillId="3" borderId="10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top" wrapText="1"/>
    </xf>
    <xf numFmtId="0" fontId="15" fillId="3" borderId="10" xfId="392" applyNumberFormat="1" applyFont="1" applyFill="1" applyBorder="1" applyAlignment="1">
      <alignment horizontal="center" vertical="top" wrapText="1"/>
    </xf>
    <xf numFmtId="2" fontId="24" fillId="3" borderId="4" xfId="0" applyNumberFormat="1" applyFont="1" applyFill="1" applyBorder="1" applyAlignment="1">
      <alignment horizontal="right" wrapText="1"/>
    </xf>
    <xf numFmtId="2" fontId="24" fillId="3" borderId="1" xfId="0" applyNumberFormat="1" applyFont="1" applyFill="1" applyBorder="1" applyAlignment="1">
      <alignment horizontal="right" wrapText="1"/>
    </xf>
    <xf numFmtId="43" fontId="15" fillId="3" borderId="10" xfId="380" applyFont="1" applyFill="1" applyBorder="1" applyAlignment="1">
      <alignment vertical="top" wrapText="1"/>
    </xf>
    <xf numFmtId="43" fontId="15" fillId="3" borderId="10" xfId="380" applyFont="1" applyFill="1" applyBorder="1" applyAlignment="1">
      <alignment horizontal="right" vertical="top" wrapText="1"/>
    </xf>
    <xf numFmtId="1" fontId="24" fillId="3" borderId="4" xfId="0" applyNumberFormat="1" applyFont="1" applyFill="1" applyBorder="1" applyAlignment="1">
      <alignment horizontal="right" wrapText="1"/>
    </xf>
    <xf numFmtId="1" fontId="24" fillId="3" borderId="1" xfId="0" applyNumberFormat="1" applyFont="1" applyFill="1" applyBorder="1" applyAlignment="1">
      <alignment horizontal="right" wrapText="1"/>
    </xf>
    <xf numFmtId="170" fontId="15" fillId="3" borderId="10" xfId="380" applyNumberFormat="1" applyFont="1" applyFill="1" applyBorder="1" applyAlignment="1">
      <alignment horizontal="justify" vertical="top" wrapText="1"/>
    </xf>
    <xf numFmtId="0" fontId="15" fillId="3" borderId="0" xfId="0" applyFont="1" applyFill="1" applyAlignment="1">
      <alignment horizontal="justify" vertical="center" wrapText="1"/>
    </xf>
    <xf numFmtId="170" fontId="15" fillId="3" borderId="1" xfId="380" applyNumberFormat="1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right" vertical="top" wrapText="1"/>
    </xf>
    <xf numFmtId="4" fontId="15" fillId="3" borderId="4" xfId="0" applyNumberFormat="1" applyFont="1" applyFill="1" applyBorder="1" applyAlignment="1">
      <alignment horizontal="justify" vertical="center" wrapText="1"/>
    </xf>
    <xf numFmtId="170" fontId="15" fillId="3" borderId="1" xfId="380" applyNumberFormat="1" applyFont="1" applyFill="1" applyBorder="1" applyAlignment="1">
      <alignment horizontal="justify" vertical="top" wrapText="1"/>
    </xf>
    <xf numFmtId="4" fontId="15" fillId="3" borderId="1" xfId="0" applyNumberFormat="1" applyFont="1" applyFill="1" applyBorder="1" applyAlignment="1">
      <alignment vertical="center" wrapText="1"/>
    </xf>
    <xf numFmtId="170" fontId="15" fillId="3" borderId="10" xfId="380" applyNumberFormat="1" applyFont="1" applyFill="1" applyBorder="1" applyAlignment="1">
      <alignment vertical="top" wrapText="1"/>
    </xf>
    <xf numFmtId="166" fontId="18" fillId="3" borderId="1" xfId="391" applyNumberFormat="1" applyFont="1" applyFill="1" applyBorder="1" applyAlignment="1">
      <alignment horizontal="right" wrapText="1"/>
    </xf>
    <xf numFmtId="43" fontId="24" fillId="3" borderId="1" xfId="380" applyFont="1" applyFill="1" applyBorder="1" applyAlignment="1">
      <alignment vertical="top"/>
    </xf>
    <xf numFmtId="43" fontId="15" fillId="3" borderId="1" xfId="380" applyFont="1" applyFill="1" applyBorder="1" applyAlignment="1">
      <alignment vertical="top" wrapText="1"/>
    </xf>
    <xf numFmtId="4" fontId="25" fillId="3" borderId="1" xfId="0" applyNumberFormat="1" applyFont="1" applyFill="1" applyBorder="1" applyAlignment="1">
      <alignment horizontal="left" vertical="top" wrapText="1"/>
    </xf>
    <xf numFmtId="0" fontId="15" fillId="3" borderId="7" xfId="90" applyFont="1" applyFill="1" applyBorder="1" applyAlignment="1">
      <alignment horizontal="center" vertical="center" wrapText="1"/>
    </xf>
    <xf numFmtId="167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vertical="top" wrapText="1"/>
    </xf>
    <xf numFmtId="0" fontId="15" fillId="3" borderId="3" xfId="3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25" fillId="3" borderId="7" xfId="0" applyFont="1" applyFill="1" applyBorder="1" applyAlignment="1">
      <alignment vertical="top" wrapText="1"/>
    </xf>
    <xf numFmtId="0" fontId="15" fillId="3" borderId="2" xfId="3" applyFont="1" applyFill="1" applyBorder="1" applyAlignment="1">
      <alignment vertical="center" wrapText="1"/>
    </xf>
    <xf numFmtId="4" fontId="38" fillId="3" borderId="1" xfId="0" applyNumberFormat="1" applyFont="1" applyFill="1" applyBorder="1" applyAlignment="1">
      <alignment vertical="top" wrapText="1"/>
    </xf>
    <xf numFmtId="43" fontId="15" fillId="3" borderId="2" xfId="380" applyFont="1" applyFill="1" applyBorder="1" applyAlignment="1">
      <alignment vertical="center"/>
    </xf>
    <xf numFmtId="164" fontId="15" fillId="3" borderId="10" xfId="391" applyNumberFormat="1" applyFont="1" applyFill="1" applyBorder="1" applyAlignment="1">
      <alignment horizontal="center" vertical="center" wrapText="1"/>
    </xf>
    <xf numFmtId="168" fontId="24" fillId="3" borderId="1" xfId="0" applyNumberFormat="1" applyFont="1" applyFill="1" applyBorder="1" applyAlignment="1">
      <alignment horizontal="right"/>
    </xf>
    <xf numFmtId="166" fontId="24" fillId="3" borderId="1" xfId="0" applyNumberFormat="1" applyFont="1" applyFill="1" applyBorder="1" applyAlignment="1">
      <alignment horizontal="right"/>
    </xf>
    <xf numFmtId="43" fontId="15" fillId="3" borderId="1" xfId="380" applyFont="1" applyFill="1" applyBorder="1" applyAlignment="1">
      <alignment horizontal="right"/>
    </xf>
    <xf numFmtId="0" fontId="15" fillId="3" borderId="0" xfId="0" applyFont="1" applyFill="1" applyBorder="1" applyAlignment="1">
      <alignment vertical="top" wrapText="1"/>
    </xf>
    <xf numFmtId="0" fontId="45" fillId="3" borderId="0" xfId="0" applyFont="1" applyFill="1" applyBorder="1" applyAlignment="1">
      <alignment vertical="top" wrapText="1"/>
    </xf>
    <xf numFmtId="4" fontId="15" fillId="3" borderId="10" xfId="0" applyNumberFormat="1" applyFont="1" applyFill="1" applyBorder="1" applyAlignment="1">
      <alignment horizontal="center" vertical="top" wrapText="1"/>
    </xf>
    <xf numFmtId="174" fontId="18" fillId="3" borderId="4" xfId="0" applyNumberFormat="1" applyFont="1" applyFill="1" applyBorder="1" applyAlignment="1">
      <alignment horizontal="center"/>
    </xf>
    <xf numFmtId="174" fontId="15" fillId="3" borderId="5" xfId="0" applyNumberFormat="1" applyFont="1" applyFill="1" applyBorder="1" applyAlignment="1">
      <alignment vertical="center"/>
    </xf>
    <xf numFmtId="4" fontId="15" fillId="3" borderId="2" xfId="3" applyNumberFormat="1" applyFont="1" applyFill="1" applyBorder="1" applyAlignment="1">
      <alignment horizontal="justify" vertical="center" wrapText="1"/>
    </xf>
    <xf numFmtId="178" fontId="15" fillId="3" borderId="4" xfId="0" applyNumberFormat="1" applyFont="1" applyFill="1" applyBorder="1" applyAlignment="1">
      <alignment vertical="center"/>
    </xf>
    <xf numFmtId="166" fontId="45" fillId="3" borderId="23" xfId="380" applyNumberFormat="1" applyFont="1" applyFill="1" applyBorder="1" applyAlignment="1">
      <alignment vertical="center"/>
    </xf>
    <xf numFmtId="168" fontId="15" fillId="3" borderId="21" xfId="380" applyNumberFormat="1" applyFont="1" applyFill="1" applyBorder="1" applyAlignment="1">
      <alignment vertical="center" wrapText="1"/>
    </xf>
    <xf numFmtId="168" fontId="15" fillId="3" borderId="3" xfId="380" applyNumberFormat="1" applyFont="1" applyFill="1" applyBorder="1" applyAlignment="1">
      <alignment horizontal="right" vertical="center" wrapText="1"/>
    </xf>
    <xf numFmtId="168" fontId="15" fillId="3" borderId="23" xfId="380" applyNumberFormat="1" applyFont="1" applyFill="1" applyBorder="1" applyAlignment="1">
      <alignment vertical="center" wrapText="1"/>
    </xf>
    <xf numFmtId="168" fontId="15" fillId="3" borderId="1" xfId="380" applyNumberFormat="1" applyFont="1" applyFill="1" applyBorder="1" applyAlignment="1">
      <alignment horizontal="right" vertical="center" wrapText="1"/>
    </xf>
    <xf numFmtId="168" fontId="15" fillId="3" borderId="23" xfId="380" applyNumberFormat="1" applyFont="1" applyFill="1" applyBorder="1"/>
    <xf numFmtId="168" fontId="15" fillId="3" borderId="1" xfId="380" applyNumberFormat="1" applyFont="1" applyFill="1" applyBorder="1" applyAlignment="1">
      <alignment horizontal="right" vertical="center"/>
    </xf>
    <xf numFmtId="168" fontId="15" fillId="3" borderId="23" xfId="380" applyNumberFormat="1" applyFont="1" applyFill="1" applyBorder="1" applyAlignment="1">
      <alignment vertical="center"/>
    </xf>
    <xf numFmtId="168" fontId="15" fillId="3" borderId="4" xfId="380" applyNumberFormat="1" applyFont="1" applyFill="1" applyBorder="1" applyAlignment="1">
      <alignment horizontal="center" vertical="center" wrapText="1"/>
    </xf>
    <xf numFmtId="168" fontId="15" fillId="3" borderId="4" xfId="380" applyNumberFormat="1" applyFont="1" applyFill="1" applyBorder="1" applyAlignment="1">
      <alignment horizontal="right" vertical="center" wrapText="1"/>
    </xf>
    <xf numFmtId="168" fontId="15" fillId="3" borderId="4" xfId="380" applyNumberFormat="1" applyFont="1" applyFill="1" applyBorder="1" applyAlignment="1">
      <alignment vertical="center"/>
    </xf>
    <xf numFmtId="168" fontId="15" fillId="3" borderId="26" xfId="380" applyNumberFormat="1" applyFont="1" applyFill="1" applyBorder="1" applyAlignment="1">
      <alignment vertical="center"/>
    </xf>
    <xf numFmtId="168" fontId="15" fillId="3" borderId="2" xfId="380" applyNumberFormat="1" applyFont="1" applyFill="1" applyBorder="1" applyAlignment="1">
      <alignment horizontal="center" vertical="center" wrapText="1"/>
    </xf>
    <xf numFmtId="168" fontId="15" fillId="3" borderId="8" xfId="380" applyNumberFormat="1" applyFont="1" applyFill="1" applyBorder="1" applyAlignment="1">
      <alignment horizontal="center" vertical="center" wrapText="1"/>
    </xf>
    <xf numFmtId="168" fontId="15" fillId="3" borderId="21" xfId="380" applyNumberFormat="1" applyFont="1" applyFill="1" applyBorder="1" applyAlignment="1">
      <alignment vertical="center"/>
    </xf>
    <xf numFmtId="168" fontId="15" fillId="3" borderId="56" xfId="380" applyNumberFormat="1" applyFont="1" applyFill="1" applyBorder="1" applyAlignment="1">
      <alignment vertical="center"/>
    </xf>
    <xf numFmtId="168" fontId="15" fillId="3" borderId="7" xfId="380" applyNumberFormat="1" applyFont="1" applyFill="1" applyBorder="1" applyAlignment="1">
      <alignment horizontal="right" vertical="center" wrapText="1"/>
    </xf>
    <xf numFmtId="168" fontId="18" fillId="3" borderId="40" xfId="380" applyNumberFormat="1" applyFont="1" applyFill="1" applyBorder="1" applyAlignment="1">
      <alignment vertical="center"/>
    </xf>
    <xf numFmtId="181" fontId="26" fillId="3" borderId="0" xfId="376" applyNumberFormat="1" applyFont="1" applyFill="1"/>
    <xf numFmtId="166" fontId="45" fillId="3" borderId="1" xfId="380" applyNumberFormat="1" applyFont="1" applyFill="1" applyBorder="1" applyAlignment="1">
      <alignment vertical="center"/>
    </xf>
    <xf numFmtId="166" fontId="45" fillId="3" borderId="10" xfId="380" applyNumberFormat="1" applyFont="1" applyFill="1" applyBorder="1" applyAlignment="1">
      <alignment vertical="center"/>
    </xf>
    <xf numFmtId="164" fontId="15" fillId="3" borderId="5" xfId="380" applyNumberFormat="1" applyFont="1" applyFill="1" applyBorder="1" applyAlignment="1">
      <alignment vertical="center"/>
    </xf>
    <xf numFmtId="4" fontId="15" fillId="3" borderId="10" xfId="0" applyNumberFormat="1" applyFont="1" applyFill="1" applyBorder="1" applyAlignment="1">
      <alignment horizontal="center" vertical="top" wrapText="1"/>
    </xf>
    <xf numFmtId="164" fontId="15" fillId="0" borderId="3" xfId="384" applyNumberFormat="1" applyFont="1" applyFill="1" applyBorder="1" applyAlignment="1">
      <alignment horizontal="center" vertical="center" wrapText="1"/>
    </xf>
    <xf numFmtId="180" fontId="15" fillId="0" borderId="3" xfId="384" applyNumberFormat="1" applyFont="1" applyFill="1" applyBorder="1" applyAlignment="1">
      <alignment vertical="center" wrapText="1"/>
    </xf>
    <xf numFmtId="164" fontId="15" fillId="0" borderId="1" xfId="384" applyNumberFormat="1" applyFont="1" applyFill="1" applyBorder="1" applyAlignment="1">
      <alignment vertical="center" wrapText="1"/>
    </xf>
    <xf numFmtId="182" fontId="15" fillId="0" borderId="23" xfId="0" applyNumberFormat="1" applyFont="1" applyFill="1" applyBorder="1" applyAlignment="1">
      <alignment vertical="center"/>
    </xf>
    <xf numFmtId="166" fontId="15" fillId="3" borderId="5" xfId="384" applyNumberFormat="1" applyFont="1" applyFill="1" applyBorder="1" applyAlignment="1">
      <alignment horizontal="center" vertical="center" wrapText="1"/>
    </xf>
    <xf numFmtId="166" fontId="15" fillId="3" borderId="16" xfId="0" applyNumberFormat="1" applyFont="1" applyFill="1" applyBorder="1"/>
    <xf numFmtId="166" fontId="15" fillId="3" borderId="4" xfId="0" applyNumberFormat="1" applyFont="1" applyFill="1" applyBorder="1" applyAlignment="1">
      <alignment vertical="center"/>
    </xf>
    <xf numFmtId="166" fontId="15" fillId="3" borderId="10" xfId="0" applyNumberFormat="1" applyFont="1" applyFill="1" applyBorder="1"/>
    <xf numFmtId="166" fontId="15" fillId="3" borderId="23" xfId="0" applyNumberFormat="1" applyFont="1" applyFill="1" applyBorder="1"/>
    <xf numFmtId="164" fontId="18" fillId="3" borderId="50" xfId="0" applyNumberFormat="1" applyFont="1" applyFill="1" applyBorder="1"/>
    <xf numFmtId="180" fontId="15" fillId="0" borderId="2" xfId="380" applyNumberFormat="1" applyFont="1" applyFill="1" applyBorder="1" applyAlignment="1">
      <alignment horizontal="right" vertical="center" wrapText="1"/>
    </xf>
    <xf numFmtId="174" fontId="15" fillId="0" borderId="26" xfId="0" applyNumberFormat="1" applyFont="1" applyFill="1" applyBorder="1" applyAlignment="1">
      <alignment horizontal="center" vertical="center"/>
    </xf>
    <xf numFmtId="174" fontId="15" fillId="3" borderId="21" xfId="0" applyNumberFormat="1" applyFont="1" applyFill="1" applyBorder="1"/>
    <xf numFmtId="4" fontId="15" fillId="3" borderId="26" xfId="0" applyNumberFormat="1" applyFont="1" applyFill="1" applyBorder="1"/>
    <xf numFmtId="178" fontId="15" fillId="3" borderId="8" xfId="0" applyNumberFormat="1" applyFont="1" applyFill="1" applyBorder="1" applyAlignment="1">
      <alignment vertical="center"/>
    </xf>
    <xf numFmtId="180" fontId="15" fillId="0" borderId="5" xfId="380" applyNumberFormat="1" applyFont="1" applyFill="1" applyBorder="1" applyAlignment="1">
      <alignment vertical="center"/>
    </xf>
    <xf numFmtId="180" fontId="15" fillId="0" borderId="4" xfId="0" applyNumberFormat="1" applyFont="1" applyFill="1" applyBorder="1" applyAlignment="1">
      <alignment vertical="center"/>
    </xf>
    <xf numFmtId="43" fontId="15" fillId="3" borderId="23" xfId="380" applyNumberFormat="1" applyFont="1" applyFill="1" applyBorder="1" applyAlignment="1">
      <alignment horizontal="center" vertical="center" wrapText="1"/>
    </xf>
    <xf numFmtId="43" fontId="15" fillId="3" borderId="4" xfId="380" applyNumberFormat="1" applyFont="1" applyFill="1" applyBorder="1" applyAlignment="1">
      <alignment horizontal="center" vertical="center" wrapText="1"/>
    </xf>
    <xf numFmtId="43" fontId="18" fillId="3" borderId="1" xfId="380" applyFont="1" applyFill="1" applyBorder="1" applyAlignment="1">
      <alignment vertical="center"/>
    </xf>
    <xf numFmtId="166" fontId="18" fillId="3" borderId="1" xfId="380" applyNumberFormat="1" applyFont="1" applyFill="1" applyBorder="1" applyAlignment="1">
      <alignment vertical="center"/>
    </xf>
    <xf numFmtId="166" fontId="18" fillId="3" borderId="24" xfId="380" applyNumberFormat="1" applyFont="1" applyFill="1" applyBorder="1" applyAlignment="1">
      <alignment vertical="center"/>
    </xf>
    <xf numFmtId="4" fontId="18" fillId="3" borderId="4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wrapText="1"/>
    </xf>
    <xf numFmtId="167" fontId="15" fillId="3" borderId="1" xfId="0" applyNumberFormat="1" applyFont="1" applyFill="1" applyBorder="1" applyAlignment="1">
      <alignment horizontal="justify" vertical="center" wrapText="1"/>
    </xf>
    <xf numFmtId="4" fontId="15" fillId="3" borderId="2" xfId="90" applyNumberFormat="1" applyFont="1" applyFill="1" applyBorder="1" applyAlignment="1">
      <alignment horizontal="justify" vertical="center" wrapText="1"/>
    </xf>
    <xf numFmtId="0" fontId="45" fillId="3" borderId="1" xfId="0" applyFont="1" applyFill="1" applyBorder="1" applyAlignment="1">
      <alignment horizontal="justify" vertical="top" wrapText="1"/>
    </xf>
    <xf numFmtId="0" fontId="45" fillId="3" borderId="1" xfId="0" applyFont="1" applyFill="1" applyBorder="1" applyAlignment="1">
      <alignment horizontal="justify" vertical="top"/>
    </xf>
    <xf numFmtId="0" fontId="48" fillId="3" borderId="1" xfId="0" applyFont="1" applyFill="1" applyBorder="1" applyAlignment="1">
      <alignment vertical="top"/>
    </xf>
    <xf numFmtId="0" fontId="49" fillId="3" borderId="1" xfId="0" applyFont="1" applyFill="1" applyBorder="1" applyAlignment="1">
      <alignment horizontal="justify" vertical="top"/>
    </xf>
    <xf numFmtId="0" fontId="45" fillId="3" borderId="2" xfId="0" applyFont="1" applyFill="1" applyBorder="1" applyAlignment="1">
      <alignment horizontal="justify" vertical="top" wrapText="1"/>
    </xf>
    <xf numFmtId="0" fontId="45" fillId="3" borderId="1" xfId="350" applyFont="1" applyFill="1" applyBorder="1" applyAlignment="1">
      <alignment horizontal="justify" vertical="top"/>
    </xf>
    <xf numFmtId="0" fontId="49" fillId="3" borderId="1" xfId="350" applyFont="1" applyFill="1" applyBorder="1" applyAlignment="1">
      <alignment horizontal="justify" vertical="top"/>
    </xf>
    <xf numFmtId="0" fontId="48" fillId="3" borderId="1" xfId="0" applyFont="1" applyFill="1" applyBorder="1" applyAlignment="1">
      <alignment horizontal="right" vertical="top"/>
    </xf>
    <xf numFmtId="0" fontId="50" fillId="3" borderId="0" xfId="0" applyFont="1" applyFill="1" applyAlignment="1">
      <alignment vertical="top"/>
    </xf>
    <xf numFmtId="0" fontId="48" fillId="3" borderId="1" xfId="0" applyFont="1" applyFill="1" applyBorder="1" applyAlignment="1">
      <alignment horizontal="right"/>
    </xf>
    <xf numFmtId="43" fontId="48" fillId="3" borderId="1" xfId="380" applyFont="1" applyFill="1" applyBorder="1" applyAlignment="1">
      <alignment horizontal="right"/>
    </xf>
    <xf numFmtId="0" fontId="45" fillId="3" borderId="1" xfId="0" applyFont="1" applyFill="1" applyBorder="1" applyAlignment="1">
      <alignment horizontal="justify" vertical="center"/>
    </xf>
    <xf numFmtId="0" fontId="47" fillId="3" borderId="0" xfId="0" applyFont="1" applyFill="1"/>
    <xf numFmtId="167" fontId="15" fillId="3" borderId="1" xfId="0" applyNumberFormat="1" applyFont="1" applyFill="1" applyBorder="1" applyAlignment="1">
      <alignment horizontal="justify" vertical="center"/>
    </xf>
    <xf numFmtId="49" fontId="15" fillId="3" borderId="1" xfId="0" applyNumberFormat="1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left" vertical="center" wrapText="1"/>
    </xf>
    <xf numFmtId="2" fontId="15" fillId="3" borderId="10" xfId="0" applyNumberFormat="1" applyFont="1" applyFill="1" applyBorder="1" applyAlignment="1">
      <alignment horizontal="right" vertical="center"/>
    </xf>
    <xf numFmtId="43" fontId="15" fillId="3" borderId="10" xfId="380" applyFont="1" applyFill="1" applyBorder="1" applyAlignment="1">
      <alignment horizontal="justify" vertical="center" wrapText="1"/>
    </xf>
    <xf numFmtId="4" fontId="15" fillId="3" borderId="1" xfId="0" applyNumberFormat="1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1" xfId="0" applyNumberFormat="1" applyFont="1" applyFill="1" applyBorder="1" applyAlignment="1">
      <alignment horizontal="justify" vertical="center" wrapText="1"/>
    </xf>
    <xf numFmtId="0" fontId="24" fillId="3" borderId="1" xfId="0" applyFont="1" applyFill="1" applyBorder="1" applyAlignment="1">
      <alignment horizontal="justify" vertical="center"/>
    </xf>
    <xf numFmtId="0" fontId="37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4" fontId="15" fillId="3" borderId="0" xfId="0" applyNumberFormat="1" applyFont="1" applyFill="1" applyAlignment="1">
      <alignment horizontal="left" vertical="center"/>
    </xf>
    <xf numFmtId="4" fontId="15" fillId="3" borderId="0" xfId="376" applyNumberFormat="1" applyFont="1" applyFill="1" applyAlignment="1">
      <alignment horizontal="left"/>
    </xf>
    <xf numFmtId="9" fontId="15" fillId="3" borderId="0" xfId="376" applyNumberFormat="1" applyFont="1" applyFill="1" applyAlignment="1">
      <alignment horizontal="left"/>
    </xf>
    <xf numFmtId="171" fontId="15" fillId="3" borderId="0" xfId="376" applyNumberFormat="1" applyFont="1" applyFill="1" applyAlignment="1">
      <alignment horizontal="left"/>
    </xf>
    <xf numFmtId="43" fontId="18" fillId="3" borderId="24" xfId="380" applyFont="1" applyFill="1" applyBorder="1"/>
    <xf numFmtId="43" fontId="18" fillId="3" borderId="4" xfId="380" applyNumberFormat="1" applyFont="1" applyFill="1" applyBorder="1" applyAlignment="1">
      <alignment horizontal="center" vertical="center" wrapText="1"/>
    </xf>
    <xf numFmtId="166" fontId="15" fillId="3" borderId="6" xfId="380" applyNumberFormat="1" applyFont="1" applyFill="1" applyBorder="1" applyAlignment="1">
      <alignment horizontal="center" vertical="center" wrapText="1"/>
    </xf>
    <xf numFmtId="4" fontId="15" fillId="3" borderId="59" xfId="0" applyNumberFormat="1" applyFont="1" applyFill="1" applyBorder="1" applyAlignment="1">
      <alignment horizontal="center" vertical="top" wrapText="1"/>
    </xf>
    <xf numFmtId="4" fontId="15" fillId="3" borderId="1" xfId="9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justify" vertical="center" wrapText="1"/>
    </xf>
    <xf numFmtId="43" fontId="15" fillId="2" borderId="39" xfId="380" applyFont="1" applyFill="1" applyBorder="1" applyAlignment="1">
      <alignment horizontal="center" vertical="top" wrapText="1"/>
    </xf>
    <xf numFmtId="4" fontId="15" fillId="3" borderId="4" xfId="0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4" fontId="25" fillId="3" borderId="1" xfId="0" applyNumberFormat="1" applyFont="1" applyFill="1" applyBorder="1" applyAlignment="1">
      <alignment horizontal="center" vertical="top"/>
    </xf>
    <xf numFmtId="2" fontId="37" fillId="3" borderId="0" xfId="0" applyNumberFormat="1" applyFont="1" applyFill="1"/>
    <xf numFmtId="0" fontId="12" fillId="3" borderId="1" xfId="0" applyFont="1" applyFill="1" applyBorder="1" applyAlignment="1">
      <alignment wrapText="1"/>
    </xf>
    <xf numFmtId="4" fontId="15" fillId="3" borderId="2" xfId="0" applyNumberFormat="1" applyFont="1" applyFill="1" applyBorder="1" applyAlignment="1">
      <alignment horizontal="center" vertical="top"/>
    </xf>
    <xf numFmtId="171" fontId="15" fillId="3" borderId="1" xfId="376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justify" vertical="center" wrapText="1"/>
    </xf>
    <xf numFmtId="43" fontId="15" fillId="3" borderId="3" xfId="380" applyFont="1" applyFill="1" applyBorder="1" applyAlignment="1">
      <alignment horizontal="justify" vertical="center" wrapText="1"/>
    </xf>
    <xf numFmtId="0" fontId="15" fillId="3" borderId="1" xfId="368" applyFont="1" applyFill="1" applyBorder="1" applyAlignment="1">
      <alignment horizontal="justify" vertical="center" wrapText="1"/>
    </xf>
    <xf numFmtId="0" fontId="16" fillId="3" borderId="0" xfId="0" applyFont="1" applyFill="1" applyAlignment="1">
      <alignment vertical="center"/>
    </xf>
    <xf numFmtId="4" fontId="15" fillId="3" borderId="4" xfId="0" applyNumberFormat="1" applyFont="1" applyFill="1" applyBorder="1" applyAlignment="1">
      <alignment horizontal="center" vertical="top" wrapText="1"/>
    </xf>
    <xf numFmtId="9" fontId="15" fillId="3" borderId="1" xfId="376" applyFont="1" applyFill="1" applyBorder="1" applyAlignment="1">
      <alignment horizontal="center" vertical="top" wrapText="1"/>
    </xf>
    <xf numFmtId="43" fontId="15" fillId="3" borderId="3" xfId="380" applyFont="1" applyFill="1" applyBorder="1" applyAlignment="1">
      <alignment horizontal="center" vertical="top"/>
    </xf>
    <xf numFmtId="43" fontId="15" fillId="3" borderId="1" xfId="380" applyFont="1" applyFill="1" applyBorder="1" applyAlignment="1">
      <alignment horizontal="center" vertical="top"/>
    </xf>
    <xf numFmtId="166" fontId="15" fillId="3" borderId="2" xfId="380" applyNumberFormat="1" applyFont="1" applyFill="1" applyBorder="1" applyAlignment="1">
      <alignment horizontal="center" vertical="top"/>
    </xf>
    <xf numFmtId="166" fontId="15" fillId="3" borderId="1" xfId="380" applyNumberFormat="1" applyFont="1" applyFill="1" applyBorder="1" applyAlignment="1">
      <alignment horizontal="center" vertical="top"/>
    </xf>
    <xf numFmtId="4" fontId="15" fillId="3" borderId="1" xfId="0" applyNumberFormat="1" applyFont="1" applyFill="1" applyBorder="1" applyAlignment="1">
      <alignment horizontal="center" vertical="top"/>
    </xf>
    <xf numFmtId="0" fontId="15" fillId="3" borderId="2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 wrapText="1"/>
    </xf>
    <xf numFmtId="170" fontId="15" fillId="3" borderId="1" xfId="380" applyNumberFormat="1" applyFont="1" applyFill="1" applyBorder="1" applyAlignment="1">
      <alignment horizontal="center" vertical="top" wrapText="1"/>
    </xf>
    <xf numFmtId="167" fontId="15" fillId="3" borderId="1" xfId="0" applyNumberFormat="1" applyFont="1" applyFill="1" applyBorder="1" applyAlignment="1">
      <alignment horizontal="center" vertical="top" wrapText="1"/>
    </xf>
    <xf numFmtId="43" fontId="15" fillId="3" borderId="10" xfId="380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/>
    </xf>
    <xf numFmtId="9" fontId="15" fillId="2" borderId="1" xfId="376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/>
    </xf>
    <xf numFmtId="2" fontId="37" fillId="3" borderId="0" xfId="0" applyNumberFormat="1" applyFont="1" applyFill="1" applyAlignment="1">
      <alignment vertical="center"/>
    </xf>
    <xf numFmtId="0" fontId="52" fillId="3" borderId="0" xfId="0" applyFont="1" applyFill="1" applyAlignment="1">
      <alignment horizontal="right"/>
    </xf>
    <xf numFmtId="175" fontId="37" fillId="3" borderId="0" xfId="0" applyNumberFormat="1" applyFont="1" applyFill="1"/>
    <xf numFmtId="43" fontId="14" fillId="3" borderId="1" xfId="0" applyNumberFormat="1" applyFont="1" applyFill="1" applyBorder="1" applyAlignment="1">
      <alignment horizontal="justify" vertical="top"/>
    </xf>
    <xf numFmtId="43" fontId="45" fillId="3" borderId="1" xfId="0" applyNumberFormat="1" applyFont="1" applyFill="1" applyBorder="1" applyAlignment="1">
      <alignment horizontal="justify" vertical="top"/>
    </xf>
    <xf numFmtId="43" fontId="22" fillId="3" borderId="1" xfId="0" applyNumberFormat="1" applyFont="1" applyFill="1" applyBorder="1" applyAlignment="1">
      <alignment horizontal="justify" vertical="top"/>
    </xf>
    <xf numFmtId="0" fontId="15" fillId="3" borderId="2" xfId="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top" wrapText="1"/>
    </xf>
    <xf numFmtId="4" fontId="15" fillId="3" borderId="2" xfId="0" applyNumberFormat="1" applyFont="1" applyFill="1" applyBorder="1" applyAlignment="1">
      <alignment horizontal="justify" vertical="center" wrapText="1"/>
    </xf>
    <xf numFmtId="0" fontId="15" fillId="3" borderId="3" xfId="90" applyFont="1" applyFill="1" applyBorder="1" applyAlignment="1">
      <alignment horizontal="center" vertical="center" wrapText="1"/>
    </xf>
    <xf numFmtId="0" fontId="15" fillId="3" borderId="3" xfId="9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top" wrapText="1"/>
    </xf>
    <xf numFmtId="169" fontId="45" fillId="4" borderId="45" xfId="1" applyFont="1" applyFill="1" applyBorder="1" applyAlignment="1">
      <alignment horizontal="justify" vertical="top"/>
    </xf>
    <xf numFmtId="0" fontId="45" fillId="3" borderId="1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justify" vertical="top" wrapText="1"/>
    </xf>
    <xf numFmtId="0" fontId="15" fillId="3" borderId="0" xfId="0" applyFont="1" applyFill="1" applyAlignment="1">
      <alignment horizontal="justify" vertical="top"/>
    </xf>
    <xf numFmtId="0" fontId="15" fillId="3" borderId="0" xfId="0" applyFont="1" applyFill="1" applyAlignment="1">
      <alignment horizontal="justify" vertical="top" wrapText="1"/>
    </xf>
    <xf numFmtId="167" fontId="15" fillId="3" borderId="11" xfId="0" applyNumberFormat="1" applyFont="1" applyFill="1" applyBorder="1" applyAlignment="1">
      <alignment horizontal="right" vertical="top" wrapText="1"/>
    </xf>
    <xf numFmtId="172" fontId="15" fillId="3" borderId="1" xfId="0" applyNumberFormat="1" applyFont="1" applyFill="1" applyBorder="1" applyAlignment="1">
      <alignment horizontal="right" vertical="top" wrapText="1"/>
    </xf>
    <xf numFmtId="0" fontId="15" fillId="3" borderId="12" xfId="0" applyFont="1" applyFill="1" applyBorder="1" applyAlignment="1">
      <alignment vertical="top" wrapText="1"/>
    </xf>
    <xf numFmtId="166" fontId="15" fillId="3" borderId="1" xfId="380" applyNumberFormat="1" applyFont="1" applyFill="1" applyBorder="1" applyAlignment="1">
      <alignment vertical="top"/>
    </xf>
    <xf numFmtId="0" fontId="15" fillId="3" borderId="0" xfId="0" applyFont="1" applyFill="1" applyAlignment="1">
      <alignment vertical="top" wrapText="1"/>
    </xf>
    <xf numFmtId="0" fontId="53" fillId="3" borderId="1" xfId="0" applyFont="1" applyFill="1" applyBorder="1" applyAlignment="1">
      <alignment vertical="top" wrapText="1"/>
    </xf>
    <xf numFmtId="2" fontId="15" fillId="3" borderId="1" xfId="380" applyNumberFormat="1" applyFont="1" applyFill="1" applyBorder="1" applyAlignment="1">
      <alignment horizontal="right" vertical="top"/>
    </xf>
    <xf numFmtId="43" fontId="15" fillId="3" borderId="1" xfId="380" applyFont="1" applyFill="1" applyBorder="1" applyAlignment="1">
      <alignment horizontal="right" vertical="top"/>
    </xf>
    <xf numFmtId="166" fontId="15" fillId="3" borderId="2" xfId="380" applyNumberFormat="1" applyFont="1" applyFill="1" applyBorder="1" applyAlignment="1">
      <alignment horizontal="right" vertical="top"/>
    </xf>
    <xf numFmtId="167" fontId="25" fillId="3" borderId="1" xfId="0" applyNumberFormat="1" applyFont="1" applyFill="1" applyBorder="1" applyAlignment="1">
      <alignment horizontal="right" vertical="top" wrapText="1"/>
    </xf>
    <xf numFmtId="167" fontId="15" fillId="3" borderId="4" xfId="380" applyNumberFormat="1" applyFont="1" applyFill="1" applyBorder="1" applyAlignment="1">
      <alignment vertical="top"/>
    </xf>
    <xf numFmtId="2" fontId="15" fillId="3" borderId="0" xfId="0" applyNumberFormat="1" applyFont="1" applyFill="1" applyAlignment="1">
      <alignment horizontal="right" vertical="top"/>
    </xf>
    <xf numFmtId="2" fontId="15" fillId="3" borderId="1" xfId="380" applyNumberFormat="1" applyFont="1" applyFill="1" applyBorder="1" applyAlignment="1">
      <alignment vertical="top"/>
    </xf>
    <xf numFmtId="0" fontId="15" fillId="3" borderId="1" xfId="35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5" fillId="3" borderId="1" xfId="35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43" fontId="15" fillId="3" borderId="7" xfId="380" applyFont="1" applyFill="1" applyBorder="1" applyAlignment="1">
      <alignment horizontal="right" vertical="top" wrapText="1"/>
    </xf>
    <xf numFmtId="43" fontId="24" fillId="3" borderId="3" xfId="380" applyFont="1" applyFill="1" applyBorder="1" applyAlignment="1">
      <alignment horizontal="right" vertical="top"/>
    </xf>
    <xf numFmtId="0" fontId="15" fillId="3" borderId="3" xfId="0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justify" vertical="top" wrapText="1"/>
    </xf>
    <xf numFmtId="167" fontId="15" fillId="3" borderId="2" xfId="0" applyNumberFormat="1" applyFont="1" applyFill="1" applyBorder="1" applyAlignment="1">
      <alignment horizontal="justify" vertical="top" wrapText="1"/>
    </xf>
    <xf numFmtId="43" fontId="15" fillId="3" borderId="1" xfId="380" applyNumberFormat="1" applyFont="1" applyFill="1" applyBorder="1" applyAlignment="1">
      <alignment horizontal="right"/>
    </xf>
    <xf numFmtId="164" fontId="15" fillId="3" borderId="1" xfId="380" applyNumberFormat="1" applyFont="1" applyFill="1" applyBorder="1" applyAlignment="1">
      <alignment horizontal="right"/>
    </xf>
    <xf numFmtId="10" fontId="15" fillId="3" borderId="1" xfId="380" applyNumberFormat="1" applyFont="1" applyFill="1" applyBorder="1" applyAlignment="1">
      <alignment horizontal="right" vertical="top" wrapText="1"/>
    </xf>
    <xf numFmtId="0" fontId="45" fillId="3" borderId="1" xfId="0" applyFont="1" applyFill="1" applyBorder="1" applyAlignment="1">
      <alignment vertical="top" wrapText="1"/>
    </xf>
    <xf numFmtId="4" fontId="15" fillId="3" borderId="2" xfId="3" applyNumberFormat="1" applyFont="1" applyFill="1" applyBorder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horizontal="left" vertical="center" wrapText="1"/>
    </xf>
    <xf numFmtId="4" fontId="15" fillId="3" borderId="3" xfId="3" applyNumberFormat="1" applyFont="1" applyFill="1" applyBorder="1" applyAlignment="1">
      <alignment horizontal="left" vertical="center" wrapText="1"/>
    </xf>
    <xf numFmtId="4" fontId="39" fillId="3" borderId="47" xfId="0" applyNumberFormat="1" applyFont="1" applyFill="1" applyBorder="1" applyAlignment="1">
      <alignment horizontal="center"/>
    </xf>
    <xf numFmtId="4" fontId="39" fillId="3" borderId="46" xfId="0" applyNumberFormat="1" applyFont="1" applyFill="1" applyBorder="1" applyAlignment="1">
      <alignment horizontal="center"/>
    </xf>
    <xf numFmtId="4" fontId="39" fillId="3" borderId="36" xfId="0" applyNumberFormat="1" applyFont="1" applyFill="1" applyBorder="1" applyAlignment="1">
      <alignment horizontal="center"/>
    </xf>
    <xf numFmtId="4" fontId="15" fillId="3" borderId="8" xfId="3" applyNumberFormat="1" applyFont="1" applyFill="1" applyBorder="1" applyAlignment="1">
      <alignment horizontal="center" vertical="center" wrapText="1"/>
    </xf>
    <xf numFmtId="4" fontId="15" fillId="3" borderId="48" xfId="3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justify" vertical="center" wrapText="1"/>
    </xf>
    <xf numFmtId="0" fontId="15" fillId="3" borderId="44" xfId="0" applyFont="1" applyFill="1" applyBorder="1" applyAlignment="1">
      <alignment horizontal="justify" vertical="center" wrapText="1"/>
    </xf>
    <xf numFmtId="4" fontId="39" fillId="3" borderId="30" xfId="0" applyNumberFormat="1" applyFont="1" applyFill="1" applyBorder="1" applyAlignment="1">
      <alignment horizontal="center"/>
    </xf>
    <xf numFmtId="4" fontId="39" fillId="3" borderId="31" xfId="0" applyNumberFormat="1" applyFont="1" applyFill="1" applyBorder="1" applyAlignment="1">
      <alignment horizontal="center"/>
    </xf>
    <xf numFmtId="4" fontId="39" fillId="3" borderId="11" xfId="0" applyNumberFormat="1" applyFont="1" applyFill="1" applyBorder="1" applyAlignment="1">
      <alignment horizontal="center"/>
    </xf>
    <xf numFmtId="4" fontId="39" fillId="3" borderId="30" xfId="0" applyNumberFormat="1" applyFont="1" applyFill="1" applyBorder="1" applyAlignment="1">
      <alignment horizontal="center" vertical="center"/>
    </xf>
    <xf numFmtId="4" fontId="39" fillId="3" borderId="31" xfId="0" applyNumberFormat="1" applyFont="1" applyFill="1" applyBorder="1" applyAlignment="1">
      <alignment horizontal="center" vertical="center"/>
    </xf>
    <xf numFmtId="4" fontId="39" fillId="3" borderId="1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justify" vertical="center" wrapText="1"/>
    </xf>
    <xf numFmtId="4" fontId="15" fillId="3" borderId="3" xfId="0" applyNumberFormat="1" applyFont="1" applyFill="1" applyBorder="1" applyAlignment="1">
      <alignment horizontal="justify" vertical="center" wrapText="1"/>
    </xf>
    <xf numFmtId="4" fontId="15" fillId="3" borderId="10" xfId="0" applyNumberFormat="1" applyFont="1" applyFill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justify" vertical="center" wrapText="1"/>
    </xf>
    <xf numFmtId="0" fontId="15" fillId="3" borderId="3" xfId="3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39" fillId="3" borderId="0" xfId="0" applyFont="1" applyFill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9" fillId="3" borderId="47" xfId="0" applyFont="1" applyFill="1" applyBorder="1" applyAlignment="1">
      <alignment horizontal="center" vertic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/>
    </xf>
    <xf numFmtId="4" fontId="18" fillId="0" borderId="43" xfId="0" applyNumberFormat="1" applyFont="1" applyFill="1" applyBorder="1" applyAlignment="1">
      <alignment horizontal="center"/>
    </xf>
    <xf numFmtId="4" fontId="18" fillId="0" borderId="8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18" fillId="3" borderId="2" xfId="3" applyNumberFormat="1" applyFont="1" applyFill="1" applyBorder="1" applyAlignment="1">
      <alignment horizontal="center" vertical="top" wrapText="1"/>
    </xf>
    <xf numFmtId="4" fontId="18" fillId="3" borderId="7" xfId="3" applyNumberFormat="1" applyFont="1" applyFill="1" applyBorder="1" applyAlignment="1">
      <alignment horizontal="center" vertical="top" wrapText="1"/>
    </xf>
    <xf numFmtId="4" fontId="18" fillId="3" borderId="3" xfId="3" applyNumberFormat="1" applyFont="1" applyFill="1" applyBorder="1" applyAlignment="1">
      <alignment horizontal="center" vertical="top" wrapText="1"/>
    </xf>
    <xf numFmtId="4" fontId="18" fillId="3" borderId="2" xfId="3" applyNumberFormat="1" applyFont="1" applyFill="1" applyBorder="1" applyAlignment="1">
      <alignment horizontal="justify" vertical="top" wrapText="1"/>
    </xf>
    <xf numFmtId="4" fontId="18" fillId="3" borderId="7" xfId="3" applyNumberFormat="1" applyFont="1" applyFill="1" applyBorder="1" applyAlignment="1">
      <alignment horizontal="justify" vertical="top" wrapText="1"/>
    </xf>
    <xf numFmtId="4" fontId="18" fillId="3" borderId="3" xfId="3" applyNumberFormat="1" applyFont="1" applyFill="1" applyBorder="1" applyAlignment="1">
      <alignment horizontal="justify" vertical="top" wrapText="1"/>
    </xf>
    <xf numFmtId="0" fontId="18" fillId="0" borderId="2" xfId="0" applyNumberFormat="1" applyFont="1" applyFill="1" applyBorder="1" applyAlignment="1">
      <alignment horizontal="center" vertical="top"/>
    </xf>
    <xf numFmtId="0" fontId="18" fillId="0" borderId="7" xfId="0" applyNumberFormat="1" applyFont="1" applyFill="1" applyBorder="1" applyAlignment="1">
      <alignment horizontal="center" vertical="top"/>
    </xf>
    <xf numFmtId="0" fontId="18" fillId="0" borderId="3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justify" vertical="top" wrapText="1"/>
    </xf>
    <xf numFmtId="4" fontId="18" fillId="0" borderId="7" xfId="0" applyNumberFormat="1" applyFont="1" applyFill="1" applyBorder="1" applyAlignment="1">
      <alignment horizontal="justify" vertical="top" wrapText="1"/>
    </xf>
    <xf numFmtId="4" fontId="18" fillId="0" borderId="3" xfId="0" applyNumberFormat="1" applyFont="1" applyFill="1" applyBorder="1" applyAlignment="1">
      <alignment horizontal="justify" vertical="top" wrapText="1"/>
    </xf>
    <xf numFmtId="0" fontId="18" fillId="3" borderId="2" xfId="0" applyNumberFormat="1" applyFont="1" applyFill="1" applyBorder="1" applyAlignment="1">
      <alignment horizontal="center" vertical="top"/>
    </xf>
    <xf numFmtId="0" fontId="18" fillId="3" borderId="7" xfId="0" applyNumberFormat="1" applyFont="1" applyFill="1" applyBorder="1" applyAlignment="1">
      <alignment horizontal="center" vertical="top"/>
    </xf>
    <xf numFmtId="0" fontId="18" fillId="3" borderId="3" xfId="0" applyNumberFormat="1" applyFont="1" applyFill="1" applyBorder="1" applyAlignment="1">
      <alignment horizontal="center" vertical="top"/>
    </xf>
    <xf numFmtId="4" fontId="18" fillId="2" borderId="2" xfId="3" applyNumberFormat="1" applyFont="1" applyFill="1" applyBorder="1" applyAlignment="1">
      <alignment horizontal="center" vertical="top" wrapText="1"/>
    </xf>
    <xf numFmtId="4" fontId="18" fillId="2" borderId="7" xfId="3" applyNumberFormat="1" applyFont="1" applyFill="1" applyBorder="1" applyAlignment="1">
      <alignment horizontal="center" vertical="top" wrapText="1"/>
    </xf>
    <xf numFmtId="4" fontId="18" fillId="2" borderId="3" xfId="3" applyNumberFormat="1" applyFont="1" applyFill="1" applyBorder="1" applyAlignment="1">
      <alignment horizontal="center" vertical="top" wrapText="1"/>
    </xf>
    <xf numFmtId="4" fontId="18" fillId="2" borderId="2" xfId="3" applyNumberFormat="1" applyFont="1" applyFill="1" applyBorder="1" applyAlignment="1">
      <alignment horizontal="justify" vertical="top" wrapText="1"/>
    </xf>
    <xf numFmtId="4" fontId="18" fillId="2" borderId="7" xfId="3" applyNumberFormat="1" applyFont="1" applyFill="1" applyBorder="1" applyAlignment="1">
      <alignment horizontal="justify" vertical="top" wrapText="1"/>
    </xf>
    <xf numFmtId="4" fontId="18" fillId="2" borderId="3" xfId="3" applyNumberFormat="1" applyFont="1" applyFill="1" applyBorder="1" applyAlignment="1">
      <alignment horizontal="justify" vertical="top" wrapText="1"/>
    </xf>
    <xf numFmtId="0" fontId="18" fillId="3" borderId="2" xfId="0" applyFont="1" applyFill="1" applyBorder="1" applyAlignment="1">
      <alignment horizontal="justify" vertical="top" wrapText="1"/>
    </xf>
    <xf numFmtId="0" fontId="18" fillId="3" borderId="7" xfId="0" applyFont="1" applyFill="1" applyBorder="1" applyAlignment="1">
      <alignment horizontal="justify" vertical="top" wrapText="1"/>
    </xf>
    <xf numFmtId="0" fontId="18" fillId="3" borderId="3" xfId="0" applyFont="1" applyFill="1" applyBorder="1" applyAlignment="1">
      <alignment horizontal="justify" vertical="top" wrapText="1"/>
    </xf>
    <xf numFmtId="4" fontId="18" fillId="3" borderId="2" xfId="0" applyNumberFormat="1" applyFont="1" applyFill="1" applyBorder="1" applyAlignment="1">
      <alignment horizontal="center" vertical="top" wrapText="1"/>
    </xf>
    <xf numFmtId="4" fontId="18" fillId="3" borderId="7" xfId="0" applyNumberFormat="1" applyFont="1" applyFill="1" applyBorder="1" applyAlignment="1">
      <alignment horizontal="center" vertical="top" wrapText="1"/>
    </xf>
    <xf numFmtId="4" fontId="18" fillId="3" borderId="3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center" vertical="top"/>
    </xf>
    <xf numFmtId="4" fontId="18" fillId="2" borderId="3" xfId="0" applyNumberFormat="1" applyFont="1" applyFill="1" applyBorder="1" applyAlignment="1">
      <alignment horizontal="center" vertical="top"/>
    </xf>
    <xf numFmtId="4" fontId="18" fillId="2" borderId="2" xfId="0" applyNumberFormat="1" applyFont="1" applyFill="1" applyBorder="1" applyAlignment="1">
      <alignment horizontal="justify" vertical="top" wrapText="1"/>
    </xf>
    <xf numFmtId="4" fontId="18" fillId="2" borderId="3" xfId="0" applyNumberFormat="1" applyFont="1" applyFill="1" applyBorder="1" applyAlignment="1">
      <alignment horizontal="justify" vertical="top" wrapText="1"/>
    </xf>
    <xf numFmtId="0" fontId="15" fillId="3" borderId="2" xfId="0" applyFont="1" applyFill="1" applyBorder="1" applyAlignment="1">
      <alignment horizontal="justify" vertical="center"/>
    </xf>
    <xf numFmtId="0" fontId="15" fillId="3" borderId="3" xfId="0" applyFont="1" applyFill="1" applyBorder="1" applyAlignment="1">
      <alignment horizontal="justify" vertical="center"/>
    </xf>
    <xf numFmtId="0" fontId="40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" fontId="15" fillId="3" borderId="43" xfId="3" applyNumberFormat="1" applyFont="1" applyFill="1" applyBorder="1" applyAlignment="1">
      <alignment horizontal="center" vertical="center" wrapText="1"/>
    </xf>
    <xf numFmtId="4" fontId="15" fillId="3" borderId="9" xfId="3" applyNumberFormat="1" applyFont="1" applyFill="1" applyBorder="1" applyAlignment="1">
      <alignment horizontal="center" vertical="center" wrapText="1"/>
    </xf>
    <xf numFmtId="167" fontId="15" fillId="3" borderId="2" xfId="0" applyNumberFormat="1" applyFont="1" applyFill="1" applyBorder="1" applyAlignment="1">
      <alignment horizontal="center" vertical="top" wrapText="1"/>
    </xf>
    <xf numFmtId="167" fontId="15" fillId="3" borderId="3" xfId="0" applyNumberFormat="1" applyFont="1" applyFill="1" applyBorder="1" applyAlignment="1">
      <alignment horizontal="center" vertical="top" wrapText="1"/>
    </xf>
    <xf numFmtId="43" fontId="15" fillId="3" borderId="13" xfId="380" applyFont="1" applyFill="1" applyBorder="1" applyAlignment="1">
      <alignment horizontal="center" vertical="center" wrapText="1"/>
    </xf>
    <xf numFmtId="43" fontId="15" fillId="3" borderId="43" xfId="380" applyFont="1" applyFill="1" applyBorder="1" applyAlignment="1">
      <alignment horizontal="center" vertical="center" wrapText="1"/>
    </xf>
    <xf numFmtId="43" fontId="15" fillId="3" borderId="8" xfId="380" applyFont="1" applyFill="1" applyBorder="1" applyAlignment="1">
      <alignment horizontal="center" vertical="center" wrapText="1"/>
    </xf>
    <xf numFmtId="43" fontId="15" fillId="3" borderId="16" xfId="380" applyFont="1" applyFill="1" applyBorder="1" applyAlignment="1">
      <alignment horizontal="center" vertical="center" wrapText="1"/>
    </xf>
    <xf numFmtId="43" fontId="15" fillId="3" borderId="9" xfId="380" applyFont="1" applyFill="1" applyBorder="1" applyAlignment="1">
      <alignment horizontal="center" vertical="center" wrapText="1"/>
    </xf>
    <xf numFmtId="43" fontId="15" fillId="3" borderId="5" xfId="380" applyFont="1" applyFill="1" applyBorder="1" applyAlignment="1">
      <alignment horizontal="center" vertical="center" wrapText="1"/>
    </xf>
    <xf numFmtId="0" fontId="15" fillId="3" borderId="2" xfId="90" applyFont="1" applyFill="1" applyBorder="1" applyAlignment="1">
      <alignment horizontal="center" vertical="center" wrapText="1"/>
    </xf>
    <xf numFmtId="0" fontId="15" fillId="3" borderId="3" xfId="90" applyFont="1" applyFill="1" applyBorder="1" applyAlignment="1">
      <alignment horizontal="center" vertical="center" wrapText="1"/>
    </xf>
    <xf numFmtId="0" fontId="15" fillId="3" borderId="2" xfId="90" applyFont="1" applyFill="1" applyBorder="1" applyAlignment="1">
      <alignment horizontal="justify" vertical="center" wrapText="1"/>
    </xf>
    <xf numFmtId="0" fontId="15" fillId="3" borderId="3" xfId="9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</cellXfs>
  <cellStyles count="419">
    <cellStyle name="Excel Built-in Normal" xfId="1"/>
    <cellStyle name="Excel Built-in Normal 1" xfId="2"/>
    <cellStyle name="Обычный" xfId="0" builtinId="0"/>
    <cellStyle name="Обычный 2" xfId="3"/>
    <cellStyle name="Обычный 2 10" xfId="4"/>
    <cellStyle name="Обычный 2 2" xfId="5"/>
    <cellStyle name="Обычный 2 2 2" xfId="6"/>
    <cellStyle name="Обычный 2 2 2 2" xfId="7"/>
    <cellStyle name="Обычный 2 2 2 2 2" xfId="8"/>
    <cellStyle name="Обычный 2 2 2 2 2 2" xfId="9"/>
    <cellStyle name="Обычный 2 2 2 2 2 2 2" xfId="10"/>
    <cellStyle name="Обычный 2 2 2 2 2 3" xfId="11"/>
    <cellStyle name="Обычный 2 2 2 2 3" xfId="12"/>
    <cellStyle name="Обычный 2 2 2 2 3 2" xfId="13"/>
    <cellStyle name="Обычный 2 2 2 2 4" xfId="14"/>
    <cellStyle name="Обычный 2 2 2 3" xfId="15"/>
    <cellStyle name="Обычный 2 2 2 3 2" xfId="16"/>
    <cellStyle name="Обычный 2 2 2 3 2 2" xfId="17"/>
    <cellStyle name="Обычный 2 2 2 3 3" xfId="18"/>
    <cellStyle name="Обычный 2 2 2 4" xfId="19"/>
    <cellStyle name="Обычный 2 2 2 4 2" xfId="20"/>
    <cellStyle name="Обычный 2 2 2 5" xfId="21"/>
    <cellStyle name="Обычный 2 2 2_Отчет за 2015 год" xfId="22"/>
    <cellStyle name="Обычный 2 2 3" xfId="23"/>
    <cellStyle name="Обычный 2 2 3 2" xfId="24"/>
    <cellStyle name="Обычный 2 2 3 2 2" xfId="25"/>
    <cellStyle name="Обычный 2 2 3 2 2 2" xfId="26"/>
    <cellStyle name="Обычный 2 2 3 2 3" xfId="27"/>
    <cellStyle name="Обычный 2 2 3 3" xfId="28"/>
    <cellStyle name="Обычный 2 2 3 3 2" xfId="29"/>
    <cellStyle name="Обычный 2 2 3 4" xfId="30"/>
    <cellStyle name="Обычный 2 2 4" xfId="31"/>
    <cellStyle name="Обычный 2 2 4 2" xfId="32"/>
    <cellStyle name="Обычный 2 2 4 2 2" xfId="33"/>
    <cellStyle name="Обычный 2 2 4 3" xfId="34"/>
    <cellStyle name="Обычный 2 2 5" xfId="35"/>
    <cellStyle name="Обычный 2 2 5 2" xfId="36"/>
    <cellStyle name="Обычный 2 2 6" xfId="37"/>
    <cellStyle name="Обычный 2 2_Отчет за 2015 год" xfId="38"/>
    <cellStyle name="Обычный 2 3" xfId="39"/>
    <cellStyle name="Обычный 2 3 2" xfId="40"/>
    <cellStyle name="Обычный 2 3 2 2" xfId="41"/>
    <cellStyle name="Обычный 2 3 2 2 2" xfId="42"/>
    <cellStyle name="Обычный 2 3 2 2 2 2" xfId="43"/>
    <cellStyle name="Обычный 2 3 2 2 2 2 2" xfId="44"/>
    <cellStyle name="Обычный 2 3 2 2 2 3" xfId="45"/>
    <cellStyle name="Обычный 2 3 2 2 3" xfId="46"/>
    <cellStyle name="Обычный 2 3 2 2 3 2" xfId="47"/>
    <cellStyle name="Обычный 2 3 2 2 4" xfId="48"/>
    <cellStyle name="Обычный 2 3 2 3" xfId="49"/>
    <cellStyle name="Обычный 2 3 2 3 2" xfId="50"/>
    <cellStyle name="Обычный 2 3 2 3 2 2" xfId="51"/>
    <cellStyle name="Обычный 2 3 2 3 3" xfId="52"/>
    <cellStyle name="Обычный 2 3 2 4" xfId="53"/>
    <cellStyle name="Обычный 2 3 2 4 2" xfId="54"/>
    <cellStyle name="Обычный 2 3 2 5" xfId="55"/>
    <cellStyle name="Обычный 2 3 2_Отчет за 2015 год" xfId="56"/>
    <cellStyle name="Обычный 2 3 3" xfId="57"/>
    <cellStyle name="Обычный 2 3 3 2" xfId="58"/>
    <cellStyle name="Обычный 2 3 3 2 2" xfId="59"/>
    <cellStyle name="Обычный 2 3 3 2 2 2" xfId="60"/>
    <cellStyle name="Обычный 2 3 3 2 3" xfId="61"/>
    <cellStyle name="Обычный 2 3 3 3" xfId="62"/>
    <cellStyle name="Обычный 2 3 3 3 2" xfId="63"/>
    <cellStyle name="Обычный 2 3 3 4" xfId="64"/>
    <cellStyle name="Обычный 2 3 4" xfId="65"/>
    <cellStyle name="Обычный 2 3 4 2" xfId="66"/>
    <cellStyle name="Обычный 2 3 4 2 2" xfId="67"/>
    <cellStyle name="Обычный 2 3 4 3" xfId="68"/>
    <cellStyle name="Обычный 2 3 5" xfId="69"/>
    <cellStyle name="Обычный 2 3 5 2" xfId="70"/>
    <cellStyle name="Обычный 2 3 6" xfId="71"/>
    <cellStyle name="Обычный 2 3_Отчет за 2015 год" xfId="72"/>
    <cellStyle name="Обычный 2 4" xfId="73"/>
    <cellStyle name="Обычный 2 4 2" xfId="74"/>
    <cellStyle name="Обычный 2 4 2 2" xfId="75"/>
    <cellStyle name="Обычный 2 4 2 2 2" xfId="76"/>
    <cellStyle name="Обычный 2 4 2 2 2 2" xfId="77"/>
    <cellStyle name="Обычный 2 4 2 2 3" xfId="78"/>
    <cellStyle name="Обычный 2 4 2 3" xfId="79"/>
    <cellStyle name="Обычный 2 4 2 3 2" xfId="80"/>
    <cellStyle name="Обычный 2 4 2 4" xfId="81"/>
    <cellStyle name="Обычный 2 4 3" xfId="82"/>
    <cellStyle name="Обычный 2 4 3 2" xfId="83"/>
    <cellStyle name="Обычный 2 4 3 2 2" xfId="84"/>
    <cellStyle name="Обычный 2 4 3 3" xfId="85"/>
    <cellStyle name="Обычный 2 4 4" xfId="86"/>
    <cellStyle name="Обычный 2 4 4 2" xfId="87"/>
    <cellStyle name="Обычный 2 4 5" xfId="88"/>
    <cellStyle name="Обычный 2 4_Отчет за 2015 год" xfId="89"/>
    <cellStyle name="Обычный 2 5" xfId="90"/>
    <cellStyle name="Обычный 2 5 2" xfId="91"/>
    <cellStyle name="Обычный 2 5 2 2" xfId="92"/>
    <cellStyle name="Обычный 2 5 2 2 2" xfId="93"/>
    <cellStyle name="Обычный 2 5 2 2 2 2" xfId="94"/>
    <cellStyle name="Обычный 2 5 2 2 3" xfId="95"/>
    <cellStyle name="Обычный 2 5 2 3" xfId="96"/>
    <cellStyle name="Обычный 2 5 2 3 2" xfId="97"/>
    <cellStyle name="Обычный 2 5 2 4" xfId="98"/>
    <cellStyle name="Обычный 2 5 3" xfId="99"/>
    <cellStyle name="Обычный 2 5 3 2" xfId="100"/>
    <cellStyle name="Обычный 2 5 3 2 2" xfId="101"/>
    <cellStyle name="Обычный 2 5 3 3" xfId="102"/>
    <cellStyle name="Обычный 2 5 4" xfId="103"/>
    <cellStyle name="Обычный 2 5 4 2" xfId="104"/>
    <cellStyle name="Обычный 2 5 5" xfId="105"/>
    <cellStyle name="Обычный 2 5_Отчет за 2015 год" xfId="106"/>
    <cellStyle name="Обычный 2 6" xfId="107"/>
    <cellStyle name="Обычный 2 6 2" xfId="108"/>
    <cellStyle name="Обычный 2 6 2 2" xfId="109"/>
    <cellStyle name="Обычный 2 6 2 2 2" xfId="110"/>
    <cellStyle name="Обычный 2 6 2 3" xfId="111"/>
    <cellStyle name="Обычный 2 6 3" xfId="112"/>
    <cellStyle name="Обычный 2 6 3 2" xfId="113"/>
    <cellStyle name="Обычный 2 6 4" xfId="114"/>
    <cellStyle name="Обычный 2 7" xfId="115"/>
    <cellStyle name="Обычный 2 7 2" xfId="116"/>
    <cellStyle name="Обычный 2 7 2 2" xfId="117"/>
    <cellStyle name="Обычный 2 7 2 2 2" xfId="118"/>
    <cellStyle name="Обычный 2 7 2 3" xfId="119"/>
    <cellStyle name="Обычный 2 7 3" xfId="120"/>
    <cellStyle name="Обычный 2 7 3 2" xfId="121"/>
    <cellStyle name="Обычный 2 7 4" xfId="122"/>
    <cellStyle name="Обычный 2 8" xfId="123"/>
    <cellStyle name="Обычный 2 8 2" xfId="124"/>
    <cellStyle name="Обычный 2 8 2 2" xfId="125"/>
    <cellStyle name="Обычный 2 8 3" xfId="126"/>
    <cellStyle name="Обычный 2 9" xfId="127"/>
    <cellStyle name="Обычный 2 9 2" xfId="128"/>
    <cellStyle name="Обычный 2_Отчет за 2015 год" xfId="129"/>
    <cellStyle name="Обычный 3" xfId="130"/>
    <cellStyle name="Обычный 3 2" xfId="131"/>
    <cellStyle name="Обычный 3 2 2" xfId="132"/>
    <cellStyle name="Обычный 3 2 2 2" xfId="133"/>
    <cellStyle name="Обычный 3 2 2 2 2" xfId="134"/>
    <cellStyle name="Обычный 3 2 2 2 2 2" xfId="135"/>
    <cellStyle name="Обычный 3 2 2 2 2 2 2" xfId="136"/>
    <cellStyle name="Обычный 3 2 2 2 2 3" xfId="137"/>
    <cellStyle name="Обычный 3 2 2 2 3" xfId="138"/>
    <cellStyle name="Обычный 3 2 2 2 3 2" xfId="139"/>
    <cellStyle name="Обычный 3 2 2 2 4" xfId="140"/>
    <cellStyle name="Обычный 3 2 2 3" xfId="141"/>
    <cellStyle name="Обычный 3 2 2 3 2" xfId="142"/>
    <cellStyle name="Обычный 3 2 2 3 2 2" xfId="143"/>
    <cellStyle name="Обычный 3 2 2 3 3" xfId="144"/>
    <cellStyle name="Обычный 3 2 2 4" xfId="145"/>
    <cellStyle name="Обычный 3 2 2 4 2" xfId="146"/>
    <cellStyle name="Обычный 3 2 2 5" xfId="147"/>
    <cellStyle name="Обычный 3 2 2_Отчет за 2015 год" xfId="148"/>
    <cellStyle name="Обычный 3 2 3" xfId="149"/>
    <cellStyle name="Обычный 3 2 3 2" xfId="150"/>
    <cellStyle name="Обычный 3 2 3 2 2" xfId="151"/>
    <cellStyle name="Обычный 3 2 3 2 2 2" xfId="152"/>
    <cellStyle name="Обычный 3 2 3 2 3" xfId="153"/>
    <cellStyle name="Обычный 3 2 3 3" xfId="154"/>
    <cellStyle name="Обычный 3 2 3 3 2" xfId="155"/>
    <cellStyle name="Обычный 3 2 3 4" xfId="156"/>
    <cellStyle name="Обычный 3 2 4" xfId="157"/>
    <cellStyle name="Обычный 3 2 4 2" xfId="158"/>
    <cellStyle name="Обычный 3 2 4 2 2" xfId="159"/>
    <cellStyle name="Обычный 3 2 4 3" xfId="160"/>
    <cellStyle name="Обычный 3 2 5" xfId="161"/>
    <cellStyle name="Обычный 3 2 5 2" xfId="162"/>
    <cellStyle name="Обычный 3 2 6" xfId="163"/>
    <cellStyle name="Обычный 3 2_Отчет за 2015 год" xfId="164"/>
    <cellStyle name="Обычный 3 3" xfId="165"/>
    <cellStyle name="Обычный 3 3 2" xfId="166"/>
    <cellStyle name="Обычный 3 3 2 2" xfId="167"/>
    <cellStyle name="Обычный 3 3 2 2 2" xfId="168"/>
    <cellStyle name="Обычный 3 3 2 2 2 2" xfId="169"/>
    <cellStyle name="Обычный 3 3 2 2 2 2 2" xfId="170"/>
    <cellStyle name="Обычный 3 3 2 2 2 3" xfId="171"/>
    <cellStyle name="Обычный 3 3 2 2 3" xfId="172"/>
    <cellStyle name="Обычный 3 3 2 2 3 2" xfId="173"/>
    <cellStyle name="Обычный 3 3 2 2 4" xfId="174"/>
    <cellStyle name="Обычный 3 3 2 3" xfId="175"/>
    <cellStyle name="Обычный 3 3 2 3 2" xfId="176"/>
    <cellStyle name="Обычный 3 3 2 3 2 2" xfId="177"/>
    <cellStyle name="Обычный 3 3 2 3 3" xfId="178"/>
    <cellStyle name="Обычный 3 3 2 4" xfId="179"/>
    <cellStyle name="Обычный 3 3 2 4 2" xfId="180"/>
    <cellStyle name="Обычный 3 3 2 5" xfId="181"/>
    <cellStyle name="Обычный 3 3 2_Отчет за 2015 год" xfId="182"/>
    <cellStyle name="Обычный 3 3 3" xfId="183"/>
    <cellStyle name="Обычный 3 3 3 2" xfId="184"/>
    <cellStyle name="Обычный 3 3 3 2 2" xfId="185"/>
    <cellStyle name="Обычный 3 3 3 2 2 2" xfId="186"/>
    <cellStyle name="Обычный 3 3 3 2 3" xfId="187"/>
    <cellStyle name="Обычный 3 3 3 3" xfId="188"/>
    <cellStyle name="Обычный 3 3 3 3 2" xfId="189"/>
    <cellStyle name="Обычный 3 3 3 4" xfId="190"/>
    <cellStyle name="Обычный 3 3 4" xfId="191"/>
    <cellStyle name="Обычный 3 3 4 2" xfId="192"/>
    <cellStyle name="Обычный 3 3 4 2 2" xfId="193"/>
    <cellStyle name="Обычный 3 3 4 3" xfId="194"/>
    <cellStyle name="Обычный 3 3 5" xfId="195"/>
    <cellStyle name="Обычный 3 3 5 2" xfId="196"/>
    <cellStyle name="Обычный 3 3 6" xfId="197"/>
    <cellStyle name="Обычный 3 3_Отчет за 2015 год" xfId="198"/>
    <cellStyle name="Обычный 3 4" xfId="199"/>
    <cellStyle name="Обычный 3 4 2" xfId="200"/>
    <cellStyle name="Обычный 3 4 2 2" xfId="201"/>
    <cellStyle name="Обычный 3 4 2 2 2" xfId="202"/>
    <cellStyle name="Обычный 3 4 2 2 2 2" xfId="203"/>
    <cellStyle name="Обычный 3 4 2 2 3" xfId="204"/>
    <cellStyle name="Обычный 3 4 2 3" xfId="205"/>
    <cellStyle name="Обычный 3 4 2 3 2" xfId="206"/>
    <cellStyle name="Обычный 3 4 2 4" xfId="207"/>
    <cellStyle name="Обычный 3 4 3" xfId="208"/>
    <cellStyle name="Обычный 3 4 3 2" xfId="209"/>
    <cellStyle name="Обычный 3 4 3 2 2" xfId="210"/>
    <cellStyle name="Обычный 3 4 3 3" xfId="211"/>
    <cellStyle name="Обычный 3 4 4" xfId="212"/>
    <cellStyle name="Обычный 3 4 4 2" xfId="213"/>
    <cellStyle name="Обычный 3 4 5" xfId="214"/>
    <cellStyle name="Обычный 3 4_Отчет за 2015 год" xfId="215"/>
    <cellStyle name="Обычный 3 5" xfId="216"/>
    <cellStyle name="Обычный 3 5 2" xfId="217"/>
    <cellStyle name="Обычный 3 5 2 2" xfId="218"/>
    <cellStyle name="Обычный 3 5 2 2 2" xfId="219"/>
    <cellStyle name="Обычный 3 5 2 3" xfId="220"/>
    <cellStyle name="Обычный 3 5 3" xfId="221"/>
    <cellStyle name="Обычный 3 5 3 2" xfId="222"/>
    <cellStyle name="Обычный 3 5 4" xfId="223"/>
    <cellStyle name="Обычный 3 6" xfId="224"/>
    <cellStyle name="Обычный 3 6 2" xfId="225"/>
    <cellStyle name="Обычный 3 6 2 2" xfId="226"/>
    <cellStyle name="Обычный 3 6 2 2 2" xfId="227"/>
    <cellStyle name="Обычный 3 6 2 3" xfId="228"/>
    <cellStyle name="Обычный 3 6 3" xfId="229"/>
    <cellStyle name="Обычный 3 6 3 2" xfId="230"/>
    <cellStyle name="Обычный 3 6 4" xfId="231"/>
    <cellStyle name="Обычный 3 7" xfId="232"/>
    <cellStyle name="Обычный 3 7 2" xfId="233"/>
    <cellStyle name="Обычный 3 7 2 2" xfId="234"/>
    <cellStyle name="Обычный 3 7 3" xfId="235"/>
    <cellStyle name="Обычный 3 8" xfId="236"/>
    <cellStyle name="Обычный 3 8 2" xfId="237"/>
    <cellStyle name="Обычный 3 9" xfId="238"/>
    <cellStyle name="Обычный 3_Отчет за 2015 год" xfId="239"/>
    <cellStyle name="Обычный 4" xfId="240"/>
    <cellStyle name="Обычный 4 2" xfId="241"/>
    <cellStyle name="Обычный 4 2 2" xfId="242"/>
    <cellStyle name="Обычный 4 2 2 2" xfId="243"/>
    <cellStyle name="Обычный 4 2 2 2 2" xfId="244"/>
    <cellStyle name="Обычный 4 2 2 2 2 2" xfId="245"/>
    <cellStyle name="Обычный 4 2 2 2 2 2 2" xfId="246"/>
    <cellStyle name="Обычный 4 2 2 2 2 3" xfId="247"/>
    <cellStyle name="Обычный 4 2 2 2 3" xfId="248"/>
    <cellStyle name="Обычный 4 2 2 2 3 2" xfId="249"/>
    <cellStyle name="Обычный 4 2 2 2 4" xfId="250"/>
    <cellStyle name="Обычный 4 2 2 3" xfId="251"/>
    <cellStyle name="Обычный 4 2 2 3 2" xfId="252"/>
    <cellStyle name="Обычный 4 2 2 3 2 2" xfId="253"/>
    <cellStyle name="Обычный 4 2 2 3 3" xfId="254"/>
    <cellStyle name="Обычный 4 2 2 4" xfId="255"/>
    <cellStyle name="Обычный 4 2 2 4 2" xfId="256"/>
    <cellStyle name="Обычный 4 2 2 5" xfId="257"/>
    <cellStyle name="Обычный 4 2 2_Отчет за 2015 год" xfId="258"/>
    <cellStyle name="Обычный 4 2 3" xfId="259"/>
    <cellStyle name="Обычный 4 2 3 2" xfId="260"/>
    <cellStyle name="Обычный 4 2 3 2 2" xfId="261"/>
    <cellStyle name="Обычный 4 2 3 2 2 2" xfId="262"/>
    <cellStyle name="Обычный 4 2 3 2 3" xfId="263"/>
    <cellStyle name="Обычный 4 2 3 3" xfId="264"/>
    <cellStyle name="Обычный 4 2 3 3 2" xfId="265"/>
    <cellStyle name="Обычный 4 2 3 4" xfId="266"/>
    <cellStyle name="Обычный 4 2 4" xfId="267"/>
    <cellStyle name="Обычный 4 2 4 2" xfId="268"/>
    <cellStyle name="Обычный 4 2 4 2 2" xfId="269"/>
    <cellStyle name="Обычный 4 2 4 3" xfId="270"/>
    <cellStyle name="Обычный 4 2 5" xfId="271"/>
    <cellStyle name="Обычный 4 2 5 2" xfId="272"/>
    <cellStyle name="Обычный 4 2 6" xfId="273"/>
    <cellStyle name="Обычный 4 2_Отчет за 2015 год" xfId="274"/>
    <cellStyle name="Обычный 4 3" xfId="275"/>
    <cellStyle name="Обычный 4 3 2" xfId="276"/>
    <cellStyle name="Обычный 4 3 2 2" xfId="277"/>
    <cellStyle name="Обычный 4 3 2 2 2" xfId="278"/>
    <cellStyle name="Обычный 4 3 2 2 2 2" xfId="279"/>
    <cellStyle name="Обычный 4 3 2 2 2 2 2" xfId="280"/>
    <cellStyle name="Обычный 4 3 2 2 2 3" xfId="281"/>
    <cellStyle name="Обычный 4 3 2 2 3" xfId="282"/>
    <cellStyle name="Обычный 4 3 2 2 3 2" xfId="283"/>
    <cellStyle name="Обычный 4 3 2 2 4" xfId="284"/>
    <cellStyle name="Обычный 4 3 2 3" xfId="285"/>
    <cellStyle name="Обычный 4 3 2 3 2" xfId="286"/>
    <cellStyle name="Обычный 4 3 2 3 2 2" xfId="287"/>
    <cellStyle name="Обычный 4 3 2 3 3" xfId="288"/>
    <cellStyle name="Обычный 4 3 2 4" xfId="289"/>
    <cellStyle name="Обычный 4 3 2 4 2" xfId="290"/>
    <cellStyle name="Обычный 4 3 2 5" xfId="291"/>
    <cellStyle name="Обычный 4 3 2_Отчет за 2015 год" xfId="292"/>
    <cellStyle name="Обычный 4 3 3" xfId="293"/>
    <cellStyle name="Обычный 4 3 3 2" xfId="294"/>
    <cellStyle name="Обычный 4 3 3 2 2" xfId="295"/>
    <cellStyle name="Обычный 4 3 3 2 2 2" xfId="296"/>
    <cellStyle name="Обычный 4 3 3 2 3" xfId="297"/>
    <cellStyle name="Обычный 4 3 3 3" xfId="298"/>
    <cellStyle name="Обычный 4 3 3 3 2" xfId="299"/>
    <cellStyle name="Обычный 4 3 3 4" xfId="300"/>
    <cellStyle name="Обычный 4 3 4" xfId="301"/>
    <cellStyle name="Обычный 4 3 4 2" xfId="302"/>
    <cellStyle name="Обычный 4 3 4 2 2" xfId="303"/>
    <cellStyle name="Обычный 4 3 4 3" xfId="304"/>
    <cellStyle name="Обычный 4 3 5" xfId="305"/>
    <cellStyle name="Обычный 4 3 5 2" xfId="306"/>
    <cellStyle name="Обычный 4 3 6" xfId="307"/>
    <cellStyle name="Обычный 4 3_Отчет за 2015 год" xfId="308"/>
    <cellStyle name="Обычный 4 4" xfId="309"/>
    <cellStyle name="Обычный 4 4 2" xfId="310"/>
    <cellStyle name="Обычный 4 4 2 2" xfId="311"/>
    <cellStyle name="Обычный 4 4 2 2 2" xfId="312"/>
    <cellStyle name="Обычный 4 4 2 2 2 2" xfId="313"/>
    <cellStyle name="Обычный 4 4 2 2 3" xfId="314"/>
    <cellStyle name="Обычный 4 4 2 3" xfId="315"/>
    <cellStyle name="Обычный 4 4 2 3 2" xfId="316"/>
    <cellStyle name="Обычный 4 4 2 4" xfId="317"/>
    <cellStyle name="Обычный 4 4 3" xfId="318"/>
    <cellStyle name="Обычный 4 4 3 2" xfId="319"/>
    <cellStyle name="Обычный 4 4 3 2 2" xfId="320"/>
    <cellStyle name="Обычный 4 4 3 3" xfId="321"/>
    <cellStyle name="Обычный 4 4 4" xfId="322"/>
    <cellStyle name="Обычный 4 4 4 2" xfId="323"/>
    <cellStyle name="Обычный 4 4 5" xfId="324"/>
    <cellStyle name="Обычный 4 4_Отчет за 2015 год" xfId="325"/>
    <cellStyle name="Обычный 4 5" xfId="326"/>
    <cellStyle name="Обычный 4 5 2" xfId="327"/>
    <cellStyle name="Обычный 4 5 2 2" xfId="328"/>
    <cellStyle name="Обычный 4 5 2 2 2" xfId="329"/>
    <cellStyle name="Обычный 4 5 2 3" xfId="330"/>
    <cellStyle name="Обычный 4 5 3" xfId="331"/>
    <cellStyle name="Обычный 4 5 3 2" xfId="332"/>
    <cellStyle name="Обычный 4 5 4" xfId="333"/>
    <cellStyle name="Обычный 4 6" xfId="334"/>
    <cellStyle name="Обычный 4 6 2" xfId="335"/>
    <cellStyle name="Обычный 4 6 2 2" xfId="336"/>
    <cellStyle name="Обычный 4 6 2 2 2" xfId="337"/>
    <cellStyle name="Обычный 4 6 2 3" xfId="338"/>
    <cellStyle name="Обычный 4 6 3" xfId="339"/>
    <cellStyle name="Обычный 4 6 3 2" xfId="340"/>
    <cellStyle name="Обычный 4 6 4" xfId="341"/>
    <cellStyle name="Обычный 4 7" xfId="342"/>
    <cellStyle name="Обычный 4 7 2" xfId="343"/>
    <cellStyle name="Обычный 4 7 2 2" xfId="344"/>
    <cellStyle name="Обычный 4 7 3" xfId="345"/>
    <cellStyle name="Обычный 4 8" xfId="346"/>
    <cellStyle name="Обычный 4 8 2" xfId="347"/>
    <cellStyle name="Обычный 4 9" xfId="348"/>
    <cellStyle name="Обычный 4_Отчет за 2015 год" xfId="349"/>
    <cellStyle name="Обычный 5" xfId="350"/>
    <cellStyle name="Обычный 6" xfId="351"/>
    <cellStyle name="Обычный 6 2" xfId="352"/>
    <cellStyle name="Обычный 6 2 2" xfId="353"/>
    <cellStyle name="Обычный 6 2 2 2" xfId="354"/>
    <cellStyle name="Обычный 6 2 2 2 2" xfId="355"/>
    <cellStyle name="Обычный 6 2 2 3" xfId="356"/>
    <cellStyle name="Обычный 6 2 3" xfId="357"/>
    <cellStyle name="Обычный 6 2 3 2" xfId="358"/>
    <cellStyle name="Обычный 6 2 4" xfId="359"/>
    <cellStyle name="Обычный 6 3" xfId="360"/>
    <cellStyle name="Обычный 6 3 2" xfId="361"/>
    <cellStyle name="Обычный 6 3 2 2" xfId="362"/>
    <cellStyle name="Обычный 6 3 3" xfId="363"/>
    <cellStyle name="Обычный 6 4" xfId="364"/>
    <cellStyle name="Обычный 6 4 2" xfId="365"/>
    <cellStyle name="Обычный 6 5" xfId="366"/>
    <cellStyle name="Обычный 6_Отчет за 2015 год" xfId="367"/>
    <cellStyle name="Обычный 7" xfId="368"/>
    <cellStyle name="Обычный 7 2" xfId="369"/>
    <cellStyle name="Обычный 7 2 2" xfId="370"/>
    <cellStyle name="Обычный 7 2 2 2" xfId="371"/>
    <cellStyle name="Обычный 7 2 3" xfId="372"/>
    <cellStyle name="Обычный 7 3" xfId="373"/>
    <cellStyle name="Обычный 7 3 2" xfId="374"/>
    <cellStyle name="Обычный 7 4" xfId="375"/>
    <cellStyle name="Процентный" xfId="376" builtinId="5"/>
    <cellStyle name="Процентный 2" xfId="377"/>
    <cellStyle name="Процентный 2 2" xfId="378"/>
    <cellStyle name="Процентный 3" xfId="379"/>
    <cellStyle name="Финансовый" xfId="380" builtinId="3"/>
    <cellStyle name="Финансовый 2" xfId="381"/>
    <cellStyle name="Финансовый 2 2" xfId="382"/>
    <cellStyle name="Финансовый 2 2 2" xfId="383"/>
    <cellStyle name="Финансовый 2 2 2 2" xfId="384"/>
    <cellStyle name="Финансовый 2 2 3" xfId="385"/>
    <cellStyle name="Финансовый 2 3" xfId="386"/>
    <cellStyle name="Финансовый 2 3 2" xfId="387"/>
    <cellStyle name="Финансовый 2 3 2 2" xfId="388"/>
    <cellStyle name="Финансовый 2 3 3" xfId="389"/>
    <cellStyle name="Финансовый 2 3 4" xfId="390"/>
    <cellStyle name="Финансовый 2 4" xfId="391"/>
    <cellStyle name="Финансовый 2 4 2" xfId="392"/>
    <cellStyle name="Финансовый 2 4 3" xfId="393"/>
    <cellStyle name="Финансовый 2 5" xfId="394"/>
    <cellStyle name="Финансовый 2 5 2" xfId="395"/>
    <cellStyle name="Финансовый 2 6" xfId="396"/>
    <cellStyle name="Финансовый 2 7" xfId="397"/>
    <cellStyle name="Финансовый 3" xfId="398"/>
    <cellStyle name="Финансовый 3 2" xfId="399"/>
    <cellStyle name="Финансовый 3 2 2" xfId="400"/>
    <cellStyle name="Финансовый 3 2 2 2" xfId="401"/>
    <cellStyle name="Финансовый 3 2 3" xfId="402"/>
    <cellStyle name="Финансовый 3 3" xfId="403"/>
    <cellStyle name="Финансовый 3 3 2" xfId="404"/>
    <cellStyle name="Финансовый 3 3 2 2" xfId="405"/>
    <cellStyle name="Финансовый 3 3 3" xfId="406"/>
    <cellStyle name="Финансовый 3 3 4" xfId="407"/>
    <cellStyle name="Финансовый 3 4" xfId="408"/>
    <cellStyle name="Финансовый 3 4 2" xfId="409"/>
    <cellStyle name="Финансовый 3 5" xfId="410"/>
    <cellStyle name="Финансовый 3 5 2" xfId="411"/>
    <cellStyle name="Финансовый 3 6" xfId="412"/>
    <cellStyle name="Финансовый 3 7" xfId="413"/>
    <cellStyle name="Финансовый 4" xfId="414"/>
    <cellStyle name="Финансовый 4 2" xfId="415"/>
    <cellStyle name="Финансовый 5" xfId="416"/>
    <cellStyle name="Финансовый 5 2" xfId="417"/>
    <cellStyle name="Финансовый 6" xfId="4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8"/>
  <sheetViews>
    <sheetView view="pageBreakPreview" zoomScale="65" zoomScaleNormal="70" zoomScaleSheetLayoutView="65" workbookViewId="0">
      <pane ySplit="6" topLeftCell="A7" activePane="bottomLeft" state="frozen"/>
      <selection pane="bottomLeft" activeCell="U12" sqref="U12"/>
    </sheetView>
  </sheetViews>
  <sheetFormatPr defaultRowHeight="15" x14ac:dyDescent="0.25"/>
  <cols>
    <col min="1" max="1" width="6.42578125" style="162" customWidth="1"/>
    <col min="2" max="2" width="34.5703125" style="162" customWidth="1"/>
    <col min="3" max="3" width="19.5703125" style="549" customWidth="1"/>
    <col min="4" max="4" width="18.28515625" style="576" customWidth="1"/>
    <col min="5" max="5" width="18.42578125" style="577" customWidth="1"/>
    <col min="6" max="6" width="5.5703125" style="578" customWidth="1"/>
    <col min="7" max="7" width="5.85546875" style="579" customWidth="1"/>
    <col min="8" max="8" width="18.28515625" style="378" customWidth="1"/>
    <col min="9" max="9" width="19.28515625" style="249" customWidth="1"/>
    <col min="10" max="10" width="4.85546875" style="162" customWidth="1"/>
    <col min="11" max="11" width="5" style="162" customWidth="1"/>
    <col min="12" max="12" width="18.5703125" style="610" customWidth="1"/>
    <col min="13" max="13" width="18.85546875" style="578" customWidth="1"/>
    <col min="14" max="14" width="4.7109375" style="578" customWidth="1"/>
    <col min="15" max="15" width="6.28515625" style="579" customWidth="1"/>
    <col min="16" max="16" width="14.28515625" style="162" customWidth="1"/>
    <col min="17" max="17" width="17" style="349" customWidth="1"/>
    <col min="18" max="18" width="18.140625" style="349" customWidth="1"/>
    <col min="19" max="19" width="10.85546875" style="349" customWidth="1"/>
    <col min="20" max="20" width="23" style="162" customWidth="1"/>
    <col min="21" max="21" width="14.28515625" style="162" bestFit="1" customWidth="1"/>
    <col min="22" max="22" width="11.5703125" style="162" bestFit="1" customWidth="1"/>
    <col min="23" max="23" width="10.42578125" style="162" bestFit="1" customWidth="1"/>
    <col min="24" max="24" width="11.5703125" style="162" bestFit="1" customWidth="1"/>
    <col min="25" max="16384" width="9.140625" style="162"/>
  </cols>
  <sheetData>
    <row r="1" spans="1:19" x14ac:dyDescent="0.25">
      <c r="D1" s="602"/>
      <c r="G1" s="578"/>
      <c r="L1" s="578"/>
      <c r="M1" s="611" t="s">
        <v>65</v>
      </c>
      <c r="O1" s="578"/>
    </row>
    <row r="2" spans="1:19" ht="18.75" x14ac:dyDescent="0.3">
      <c r="A2" s="918" t="s">
        <v>443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</row>
    <row r="3" spans="1:19" ht="18.75" x14ac:dyDescent="0.3">
      <c r="A3" s="918" t="s">
        <v>330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</row>
    <row r="4" spans="1:19" ht="7.5" customHeight="1" x14ac:dyDescent="0.3">
      <c r="A4" s="293"/>
      <c r="B4" s="293"/>
      <c r="C4" s="550"/>
      <c r="D4" s="603"/>
      <c r="E4" s="604"/>
      <c r="F4" s="604"/>
      <c r="G4" s="604"/>
      <c r="H4" s="379"/>
      <c r="I4" s="293"/>
      <c r="J4" s="293"/>
      <c r="K4" s="293"/>
      <c r="L4" s="604"/>
      <c r="M4" s="604"/>
      <c r="N4" s="604"/>
      <c r="O4" s="929"/>
      <c r="P4" s="929"/>
    </row>
    <row r="5" spans="1:19" s="242" customFormat="1" ht="42" customHeight="1" x14ac:dyDescent="0.2">
      <c r="A5" s="924" t="s">
        <v>155</v>
      </c>
      <c r="B5" s="924" t="s">
        <v>156</v>
      </c>
      <c r="C5" s="932" t="s">
        <v>157</v>
      </c>
      <c r="D5" s="930" t="s">
        <v>60</v>
      </c>
      <c r="E5" s="927"/>
      <c r="F5" s="927"/>
      <c r="G5" s="931"/>
      <c r="H5" s="926" t="s">
        <v>61</v>
      </c>
      <c r="I5" s="927"/>
      <c r="J5" s="927"/>
      <c r="K5" s="928"/>
      <c r="L5" s="930" t="s">
        <v>158</v>
      </c>
      <c r="M5" s="927"/>
      <c r="N5" s="927"/>
      <c r="O5" s="931"/>
      <c r="P5" s="919" t="s">
        <v>159</v>
      </c>
      <c r="Q5" s="380"/>
      <c r="R5" s="380"/>
      <c r="S5" s="380"/>
    </row>
    <row r="6" spans="1:19" s="242" customFormat="1" ht="42" customHeight="1" x14ac:dyDescent="0.2">
      <c r="A6" s="925"/>
      <c r="B6" s="925"/>
      <c r="C6" s="933"/>
      <c r="D6" s="580" t="s">
        <v>160</v>
      </c>
      <c r="E6" s="637" t="s">
        <v>161</v>
      </c>
      <c r="F6" s="637" t="s">
        <v>162</v>
      </c>
      <c r="G6" s="548" t="s">
        <v>163</v>
      </c>
      <c r="H6" s="636" t="s">
        <v>160</v>
      </c>
      <c r="I6" s="637" t="s">
        <v>161</v>
      </c>
      <c r="J6" s="637" t="s">
        <v>162</v>
      </c>
      <c r="K6" s="605" t="s">
        <v>163</v>
      </c>
      <c r="L6" s="580" t="s">
        <v>160</v>
      </c>
      <c r="M6" s="637" t="s">
        <v>161</v>
      </c>
      <c r="N6" s="637" t="s">
        <v>162</v>
      </c>
      <c r="O6" s="548" t="s">
        <v>163</v>
      </c>
      <c r="P6" s="920"/>
      <c r="Q6" s="380"/>
      <c r="R6" s="380"/>
      <c r="S6" s="380"/>
    </row>
    <row r="7" spans="1:19" s="242" customFormat="1" ht="14.25" customHeight="1" thickBot="1" x14ac:dyDescent="0.25">
      <c r="A7" s="637">
        <v>1</v>
      </c>
      <c r="B7" s="637">
        <v>2</v>
      </c>
      <c r="C7" s="638">
        <v>3</v>
      </c>
      <c r="D7" s="580">
        <v>4</v>
      </c>
      <c r="E7" s="637">
        <v>5</v>
      </c>
      <c r="F7" s="637">
        <v>6</v>
      </c>
      <c r="G7" s="548">
        <v>7</v>
      </c>
      <c r="H7" s="636">
        <v>8</v>
      </c>
      <c r="I7" s="637">
        <v>9</v>
      </c>
      <c r="J7" s="637">
        <v>10</v>
      </c>
      <c r="K7" s="605">
        <v>11</v>
      </c>
      <c r="L7" s="580">
        <v>12</v>
      </c>
      <c r="M7" s="637">
        <v>13</v>
      </c>
      <c r="N7" s="637">
        <v>14</v>
      </c>
      <c r="O7" s="548">
        <v>15</v>
      </c>
      <c r="P7" s="636">
        <v>16</v>
      </c>
      <c r="Q7" s="380"/>
      <c r="R7" s="380"/>
      <c r="S7" s="380"/>
    </row>
    <row r="8" spans="1:19" ht="19.5" customHeight="1" thickBot="1" x14ac:dyDescent="0.3">
      <c r="A8" s="921" t="s">
        <v>164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3"/>
    </row>
    <row r="9" spans="1:19" ht="141" customHeight="1" x14ac:dyDescent="0.25">
      <c r="A9" s="244" t="s">
        <v>70</v>
      </c>
      <c r="B9" s="294" t="s">
        <v>69</v>
      </c>
      <c r="C9" s="643" t="s">
        <v>328</v>
      </c>
      <c r="D9" s="381">
        <f>D10+D11+D12+D13+D14+D15+D16+D17+D18+D19+D20+D21+D22+D23+D24+D25+D26+D27+D28+D29+D30+D31+D32+D33+D34+D35+D36+D37+D38+D39+D40+D41+D42+D43+D44+D45+D46+D47+D48+D51+D52+D53+D54+D55+D56+D49+D50</f>
        <v>1165932.2900000003</v>
      </c>
      <c r="E9" s="381">
        <f>SUM(E10:E56)</f>
        <v>3828002.8000000003</v>
      </c>
      <c r="F9" s="645"/>
      <c r="G9" s="646"/>
      <c r="H9" s="381">
        <f>H10+H11+H12+H13+H14+H15+H16+H17+H18+H19+H20+H21+H22+H23+H24+H25+H26+H27+H28+H29+H30+H31+H32+H33+H34+H35+H36+H37+H38+H39+H40+H41+H42+H43+H44+H45+H46+H47+H48+H51+H52+H53+H54+H55+H56+H49+H50</f>
        <v>1165932.2900000003</v>
      </c>
      <c r="I9" s="381">
        <f>SUM(I10:I56)</f>
        <v>3828002.8000000003</v>
      </c>
      <c r="J9" s="645"/>
      <c r="K9" s="646"/>
      <c r="L9" s="383">
        <f>L10+L11+L12+L13+L14+L15+L16+L17+L18+L19+L20+L21+L22+L23+L24+L25+L26+L27+L28+L29+L30+L31+L32+L33+L34+L35+L36+L37+L38+L39+L40+L41+L42+L43+L44+L45+L46+L47+L48+L51+L52+L53+L54+L55+L56+L49+L50</f>
        <v>619734.30856999999</v>
      </c>
      <c r="M9" s="383">
        <f>SUM(M10:M56)</f>
        <v>2823150.9143700004</v>
      </c>
      <c r="N9" s="244"/>
      <c r="O9" s="382"/>
      <c r="P9" s="383"/>
      <c r="R9" s="644"/>
    </row>
    <row r="10" spans="1:19" s="391" customFormat="1" ht="38.25" customHeight="1" x14ac:dyDescent="0.2">
      <c r="A10" s="165" t="s">
        <v>187</v>
      </c>
      <c r="B10" s="166" t="s">
        <v>195</v>
      </c>
      <c r="C10" s="554" t="s">
        <v>151</v>
      </c>
      <c r="D10" s="384"/>
      <c r="E10" s="295">
        <v>299936.5</v>
      </c>
      <c r="F10" s="385"/>
      <c r="G10" s="386"/>
      <c r="H10" s="562"/>
      <c r="I10" s="295">
        <v>299936.5</v>
      </c>
      <c r="J10" s="385"/>
      <c r="K10" s="387"/>
      <c r="L10" s="733"/>
      <c r="M10" s="734">
        <v>257482.30158</v>
      </c>
      <c r="N10" s="385"/>
      <c r="O10" s="388"/>
      <c r="P10" s="389"/>
      <c r="Q10" s="306"/>
      <c r="R10" s="390"/>
      <c r="S10" s="390"/>
    </row>
    <row r="11" spans="1:19" s="391" customFormat="1" ht="38.25" x14ac:dyDescent="0.2">
      <c r="A11" s="157" t="s">
        <v>188</v>
      </c>
      <c r="B11" s="158" t="s">
        <v>196</v>
      </c>
      <c r="C11" s="554" t="s">
        <v>151</v>
      </c>
      <c r="D11" s="392"/>
      <c r="E11" s="297">
        <v>94000</v>
      </c>
      <c r="F11" s="393"/>
      <c r="G11" s="394"/>
      <c r="H11" s="563"/>
      <c r="I11" s="297">
        <v>94000</v>
      </c>
      <c r="J11" s="393"/>
      <c r="K11" s="395"/>
      <c r="L11" s="735"/>
      <c r="M11" s="736">
        <v>80178.856400000004</v>
      </c>
      <c r="N11" s="393"/>
      <c r="O11" s="396"/>
      <c r="P11" s="397"/>
      <c r="Q11" s="306"/>
      <c r="R11" s="390"/>
      <c r="S11" s="390"/>
    </row>
    <row r="12" spans="1:19" s="391" customFormat="1" ht="154.5" customHeight="1" x14ac:dyDescent="0.2">
      <c r="A12" s="157" t="s">
        <v>189</v>
      </c>
      <c r="B12" s="158" t="s">
        <v>7</v>
      </c>
      <c r="C12" s="554" t="s">
        <v>151</v>
      </c>
      <c r="D12" s="392"/>
      <c r="E12" s="297">
        <v>150000</v>
      </c>
      <c r="F12" s="393"/>
      <c r="G12" s="394"/>
      <c r="H12" s="563"/>
      <c r="I12" s="297">
        <v>150000</v>
      </c>
      <c r="J12" s="393"/>
      <c r="K12" s="395"/>
      <c r="L12" s="735"/>
      <c r="M12" s="736">
        <v>71848.055099999998</v>
      </c>
      <c r="N12" s="393"/>
      <c r="O12" s="396"/>
      <c r="P12" s="397"/>
      <c r="Q12" s="306"/>
      <c r="R12" s="390"/>
      <c r="S12" s="390"/>
    </row>
    <row r="13" spans="1:19" s="391" customFormat="1" ht="39.75" customHeight="1" x14ac:dyDescent="0.2">
      <c r="A13" s="157" t="s">
        <v>190</v>
      </c>
      <c r="B13" s="158" t="s">
        <v>197</v>
      </c>
      <c r="C13" s="554" t="s">
        <v>151</v>
      </c>
      <c r="D13" s="392"/>
      <c r="E13" s="297">
        <v>67598</v>
      </c>
      <c r="F13" s="393"/>
      <c r="G13" s="394"/>
      <c r="H13" s="563"/>
      <c r="I13" s="297">
        <v>67598</v>
      </c>
      <c r="J13" s="393"/>
      <c r="K13" s="395"/>
      <c r="L13" s="735"/>
      <c r="M13" s="736">
        <v>12791.874460000001</v>
      </c>
      <c r="N13" s="393"/>
      <c r="O13" s="396"/>
      <c r="P13" s="397"/>
      <c r="Q13" s="306"/>
      <c r="R13" s="390"/>
      <c r="S13" s="390"/>
    </row>
    <row r="14" spans="1:19" s="391" customFormat="1" ht="51" customHeight="1" x14ac:dyDescent="0.2">
      <c r="A14" s="157" t="s">
        <v>191</v>
      </c>
      <c r="B14" s="158" t="s">
        <v>8</v>
      </c>
      <c r="C14" s="554" t="s">
        <v>151</v>
      </c>
      <c r="D14" s="392"/>
      <c r="E14" s="297">
        <v>33643.9</v>
      </c>
      <c r="F14" s="393"/>
      <c r="G14" s="394"/>
      <c r="H14" s="563"/>
      <c r="I14" s="297">
        <v>33643.9</v>
      </c>
      <c r="J14" s="393"/>
      <c r="K14" s="395"/>
      <c r="L14" s="735"/>
      <c r="M14" s="736">
        <v>14981</v>
      </c>
      <c r="N14" s="393"/>
      <c r="O14" s="396"/>
      <c r="P14" s="397"/>
      <c r="Q14" s="306"/>
      <c r="R14" s="390"/>
      <c r="S14" s="390"/>
    </row>
    <row r="15" spans="1:19" s="391" customFormat="1" ht="25.5" x14ac:dyDescent="0.2">
      <c r="A15" s="157" t="s">
        <v>17</v>
      </c>
      <c r="B15" s="158" t="s">
        <v>198</v>
      </c>
      <c r="C15" s="554" t="s">
        <v>151</v>
      </c>
      <c r="D15" s="299"/>
      <c r="E15" s="297">
        <v>1287275.7</v>
      </c>
      <c r="F15" s="300"/>
      <c r="G15" s="301"/>
      <c r="H15" s="311"/>
      <c r="I15" s="297">
        <v>1287275.7</v>
      </c>
      <c r="J15" s="300"/>
      <c r="K15" s="302"/>
      <c r="L15" s="737"/>
      <c r="M15" s="736">
        <v>961516.78859000001</v>
      </c>
      <c r="N15" s="300"/>
      <c r="O15" s="304"/>
      <c r="P15" s="305"/>
      <c r="Q15" s="306"/>
      <c r="R15" s="390"/>
      <c r="S15" s="390"/>
    </row>
    <row r="16" spans="1:19" s="391" customFormat="1" ht="25.5" x14ac:dyDescent="0.2">
      <c r="A16" s="157" t="s">
        <v>18</v>
      </c>
      <c r="B16" s="158" t="s">
        <v>199</v>
      </c>
      <c r="C16" s="554" t="s">
        <v>151</v>
      </c>
      <c r="D16" s="299"/>
      <c r="E16" s="297">
        <v>3057.1</v>
      </c>
      <c r="F16" s="300"/>
      <c r="G16" s="301"/>
      <c r="H16" s="311"/>
      <c r="I16" s="297">
        <v>3057.1</v>
      </c>
      <c r="J16" s="300"/>
      <c r="K16" s="302"/>
      <c r="L16" s="737"/>
      <c r="M16" s="736">
        <v>1338.65563</v>
      </c>
      <c r="N16" s="300"/>
      <c r="O16" s="304"/>
      <c r="P16" s="305"/>
      <c r="Q16" s="306"/>
      <c r="R16" s="390"/>
      <c r="S16" s="390"/>
    </row>
    <row r="17" spans="1:19" s="391" customFormat="1" ht="51" x14ac:dyDescent="0.2">
      <c r="A17" s="157" t="s">
        <v>64</v>
      </c>
      <c r="B17" s="158" t="s">
        <v>200</v>
      </c>
      <c r="C17" s="554" t="s">
        <v>151</v>
      </c>
      <c r="D17" s="299"/>
      <c r="E17" s="297">
        <v>25000</v>
      </c>
      <c r="F17" s="300"/>
      <c r="G17" s="301"/>
      <c r="H17" s="311"/>
      <c r="I17" s="297">
        <v>25000</v>
      </c>
      <c r="J17" s="300"/>
      <c r="K17" s="302"/>
      <c r="L17" s="737"/>
      <c r="M17" s="736">
        <v>16816.676530000001</v>
      </c>
      <c r="N17" s="300"/>
      <c r="O17" s="304"/>
      <c r="P17" s="305"/>
      <c r="Q17" s="306"/>
      <c r="R17" s="390"/>
      <c r="S17" s="390"/>
    </row>
    <row r="18" spans="1:19" s="391" customFormat="1" ht="38.25" customHeight="1" x14ac:dyDescent="0.2">
      <c r="A18" s="157" t="s">
        <v>275</v>
      </c>
      <c r="B18" s="158" t="s">
        <v>9</v>
      </c>
      <c r="C18" s="554" t="s">
        <v>151</v>
      </c>
      <c r="D18" s="299"/>
      <c r="E18" s="297">
        <v>1192330.6000000001</v>
      </c>
      <c r="F18" s="300"/>
      <c r="G18" s="301"/>
      <c r="H18" s="311"/>
      <c r="I18" s="297">
        <v>1192330.6000000001</v>
      </c>
      <c r="J18" s="300"/>
      <c r="K18" s="302"/>
      <c r="L18" s="737"/>
      <c r="M18" s="736">
        <v>896655.35265999998</v>
      </c>
      <c r="N18" s="300"/>
      <c r="O18" s="304"/>
      <c r="P18" s="305"/>
      <c r="Q18" s="306"/>
      <c r="R18" s="390"/>
      <c r="S18" s="390"/>
    </row>
    <row r="19" spans="1:19" s="391" customFormat="1" ht="43.5" customHeight="1" x14ac:dyDescent="0.2">
      <c r="A19" s="157" t="s">
        <v>278</v>
      </c>
      <c r="B19" s="158" t="s">
        <v>201</v>
      </c>
      <c r="C19" s="554" t="s">
        <v>151</v>
      </c>
      <c r="D19" s="299"/>
      <c r="E19" s="297">
        <v>14507</v>
      </c>
      <c r="F19" s="300"/>
      <c r="G19" s="301"/>
      <c r="H19" s="311"/>
      <c r="I19" s="297">
        <v>14507</v>
      </c>
      <c r="J19" s="300"/>
      <c r="K19" s="302"/>
      <c r="L19" s="737"/>
      <c r="M19" s="736">
        <v>10906.06213</v>
      </c>
      <c r="N19" s="300"/>
      <c r="O19" s="304"/>
      <c r="P19" s="305"/>
      <c r="Q19" s="306"/>
      <c r="R19" s="390"/>
      <c r="S19" s="390"/>
    </row>
    <row r="20" spans="1:19" s="391" customFormat="1" ht="51" x14ac:dyDescent="0.2">
      <c r="A20" s="157" t="s">
        <v>4</v>
      </c>
      <c r="B20" s="158" t="s">
        <v>202</v>
      </c>
      <c r="C20" s="554" t="s">
        <v>151</v>
      </c>
      <c r="D20" s="299"/>
      <c r="E20" s="297">
        <v>110000</v>
      </c>
      <c r="F20" s="300"/>
      <c r="G20" s="301"/>
      <c r="H20" s="311"/>
      <c r="I20" s="297">
        <v>110000</v>
      </c>
      <c r="J20" s="300"/>
      <c r="K20" s="302"/>
      <c r="L20" s="737"/>
      <c r="M20" s="736">
        <v>78101.697140000004</v>
      </c>
      <c r="N20" s="300"/>
      <c r="O20" s="304"/>
      <c r="P20" s="305"/>
      <c r="Q20" s="306"/>
      <c r="R20" s="390"/>
      <c r="S20" s="390"/>
    </row>
    <row r="21" spans="1:19" s="391" customFormat="1" ht="25.5" x14ac:dyDescent="0.2">
      <c r="A21" s="157" t="s">
        <v>71</v>
      </c>
      <c r="B21" s="158" t="s">
        <v>203</v>
      </c>
      <c r="C21" s="554" t="s">
        <v>151</v>
      </c>
      <c r="D21" s="299"/>
      <c r="E21" s="297">
        <v>6600</v>
      </c>
      <c r="F21" s="300"/>
      <c r="G21" s="301"/>
      <c r="H21" s="311"/>
      <c r="I21" s="297">
        <v>6600</v>
      </c>
      <c r="J21" s="300"/>
      <c r="K21" s="302"/>
      <c r="L21" s="737"/>
      <c r="M21" s="736">
        <v>4059.4119900000001</v>
      </c>
      <c r="N21" s="300"/>
      <c r="O21" s="304"/>
      <c r="P21" s="305"/>
      <c r="Q21" s="306"/>
      <c r="R21" s="390"/>
      <c r="S21" s="390"/>
    </row>
    <row r="22" spans="1:19" s="391" customFormat="1" ht="240" customHeight="1" x14ac:dyDescent="0.2">
      <c r="A22" s="157" t="s">
        <v>72</v>
      </c>
      <c r="B22" s="158" t="s">
        <v>204</v>
      </c>
      <c r="C22" s="554" t="s">
        <v>151</v>
      </c>
      <c r="D22" s="299"/>
      <c r="E22" s="297">
        <v>100</v>
      </c>
      <c r="F22" s="300"/>
      <c r="G22" s="301"/>
      <c r="H22" s="311"/>
      <c r="I22" s="297">
        <v>100</v>
      </c>
      <c r="J22" s="300"/>
      <c r="K22" s="302"/>
      <c r="L22" s="737"/>
      <c r="M22" s="736">
        <v>0</v>
      </c>
      <c r="N22" s="300"/>
      <c r="O22" s="304"/>
      <c r="P22" s="305"/>
      <c r="Q22" s="306"/>
      <c r="R22" s="390"/>
      <c r="S22" s="390"/>
    </row>
    <row r="23" spans="1:19" s="391" customFormat="1" ht="89.25" customHeight="1" x14ac:dyDescent="0.2">
      <c r="A23" s="157" t="s">
        <v>73</v>
      </c>
      <c r="B23" s="158" t="s">
        <v>205</v>
      </c>
      <c r="C23" s="554" t="s">
        <v>151</v>
      </c>
      <c r="D23" s="299"/>
      <c r="E23" s="297">
        <v>287300</v>
      </c>
      <c r="F23" s="300"/>
      <c r="G23" s="301"/>
      <c r="H23" s="311"/>
      <c r="I23" s="297">
        <v>287300</v>
      </c>
      <c r="J23" s="300"/>
      <c r="K23" s="302"/>
      <c r="L23" s="737"/>
      <c r="M23" s="736">
        <v>246317.46896999999</v>
      </c>
      <c r="N23" s="300"/>
      <c r="O23" s="304"/>
      <c r="P23" s="305"/>
      <c r="Q23" s="306"/>
      <c r="R23" s="390"/>
      <c r="S23" s="390"/>
    </row>
    <row r="24" spans="1:19" s="391" customFormat="1" ht="51" x14ac:dyDescent="0.2">
      <c r="A24" s="157" t="s">
        <v>74</v>
      </c>
      <c r="B24" s="158" t="s">
        <v>206</v>
      </c>
      <c r="C24" s="554" t="s">
        <v>151</v>
      </c>
      <c r="D24" s="299"/>
      <c r="E24" s="297">
        <v>11000</v>
      </c>
      <c r="F24" s="300"/>
      <c r="G24" s="301"/>
      <c r="H24" s="311"/>
      <c r="I24" s="297">
        <v>11000</v>
      </c>
      <c r="J24" s="300"/>
      <c r="K24" s="302"/>
      <c r="L24" s="737"/>
      <c r="M24" s="736">
        <v>2789.72046</v>
      </c>
      <c r="N24" s="300"/>
      <c r="O24" s="304"/>
      <c r="P24" s="305"/>
      <c r="Q24" s="306"/>
      <c r="R24" s="390"/>
      <c r="S24" s="390"/>
    </row>
    <row r="25" spans="1:19" s="391" customFormat="1" ht="51" customHeight="1" x14ac:dyDescent="0.2">
      <c r="A25" s="157" t="s">
        <v>75</v>
      </c>
      <c r="B25" s="158" t="s">
        <v>207</v>
      </c>
      <c r="C25" s="554" t="s">
        <v>151</v>
      </c>
      <c r="D25" s="299"/>
      <c r="E25" s="297">
        <v>100</v>
      </c>
      <c r="F25" s="300"/>
      <c r="G25" s="301"/>
      <c r="H25" s="311"/>
      <c r="I25" s="297">
        <v>100</v>
      </c>
      <c r="J25" s="300"/>
      <c r="K25" s="302"/>
      <c r="L25" s="737"/>
      <c r="M25" s="736">
        <v>37</v>
      </c>
      <c r="N25" s="300"/>
      <c r="O25" s="304"/>
      <c r="P25" s="305"/>
      <c r="Q25" s="306"/>
      <c r="R25" s="390"/>
      <c r="S25" s="390"/>
    </row>
    <row r="26" spans="1:19" s="391" customFormat="1" ht="51" x14ac:dyDescent="0.2">
      <c r="A26" s="157" t="s">
        <v>76</v>
      </c>
      <c r="B26" s="158" t="s">
        <v>208</v>
      </c>
      <c r="C26" s="554" t="s">
        <v>151</v>
      </c>
      <c r="D26" s="299"/>
      <c r="E26" s="297">
        <v>450</v>
      </c>
      <c r="F26" s="300"/>
      <c r="G26" s="301"/>
      <c r="H26" s="311"/>
      <c r="I26" s="297">
        <v>450</v>
      </c>
      <c r="J26" s="300"/>
      <c r="K26" s="302"/>
      <c r="L26" s="737"/>
      <c r="M26" s="736">
        <v>306.05158</v>
      </c>
      <c r="N26" s="300"/>
      <c r="O26" s="304"/>
      <c r="P26" s="305"/>
      <c r="Q26" s="306"/>
      <c r="R26" s="390"/>
      <c r="S26" s="390"/>
    </row>
    <row r="27" spans="1:19" s="391" customFormat="1" ht="223.5" customHeight="1" x14ac:dyDescent="0.2">
      <c r="A27" s="157" t="s">
        <v>77</v>
      </c>
      <c r="B27" s="158" t="s">
        <v>10</v>
      </c>
      <c r="C27" s="554" t="s">
        <v>151</v>
      </c>
      <c r="D27" s="299"/>
      <c r="E27" s="297">
        <v>2145</v>
      </c>
      <c r="F27" s="300"/>
      <c r="G27" s="301"/>
      <c r="H27" s="311"/>
      <c r="I27" s="297">
        <v>2145</v>
      </c>
      <c r="J27" s="300"/>
      <c r="K27" s="302"/>
      <c r="L27" s="737"/>
      <c r="M27" s="736">
        <v>1442.1687099999999</v>
      </c>
      <c r="N27" s="300"/>
      <c r="O27" s="304"/>
      <c r="P27" s="305"/>
      <c r="Q27" s="306"/>
      <c r="R27" s="390"/>
      <c r="S27" s="390"/>
    </row>
    <row r="28" spans="1:19" s="391" customFormat="1" ht="51" x14ac:dyDescent="0.2">
      <c r="A28" s="157" t="s">
        <v>78</v>
      </c>
      <c r="B28" s="158" t="s">
        <v>209</v>
      </c>
      <c r="C28" s="554" t="s">
        <v>151</v>
      </c>
      <c r="D28" s="299"/>
      <c r="E28" s="297">
        <v>18535</v>
      </c>
      <c r="F28" s="300"/>
      <c r="G28" s="301"/>
      <c r="H28" s="311"/>
      <c r="I28" s="297">
        <v>18535</v>
      </c>
      <c r="J28" s="300"/>
      <c r="K28" s="302"/>
      <c r="L28" s="737"/>
      <c r="M28" s="736">
        <v>16697.96874</v>
      </c>
      <c r="N28" s="300"/>
      <c r="O28" s="304"/>
      <c r="P28" s="305"/>
      <c r="Q28" s="306"/>
      <c r="R28" s="390"/>
      <c r="S28" s="390"/>
    </row>
    <row r="29" spans="1:19" s="391" customFormat="1" ht="51" x14ac:dyDescent="0.2">
      <c r="A29" s="157" t="s">
        <v>79</v>
      </c>
      <c r="B29" s="158" t="s">
        <v>210</v>
      </c>
      <c r="C29" s="641" t="s">
        <v>151</v>
      </c>
      <c r="D29" s="299"/>
      <c r="E29" s="297">
        <v>2000</v>
      </c>
      <c r="F29" s="300"/>
      <c r="G29" s="301"/>
      <c r="H29" s="311"/>
      <c r="I29" s="297">
        <v>2000</v>
      </c>
      <c r="J29" s="300"/>
      <c r="K29" s="302"/>
      <c r="L29" s="737"/>
      <c r="M29" s="736">
        <v>1159.8009</v>
      </c>
      <c r="N29" s="300"/>
      <c r="O29" s="304"/>
      <c r="P29" s="305"/>
      <c r="Q29" s="306"/>
      <c r="R29" s="390"/>
      <c r="S29" s="390"/>
    </row>
    <row r="30" spans="1:19" s="391" customFormat="1" ht="18.75" customHeight="1" x14ac:dyDescent="0.2">
      <c r="A30" s="891" t="s">
        <v>80</v>
      </c>
      <c r="B30" s="893" t="s">
        <v>167</v>
      </c>
      <c r="C30" s="641" t="s">
        <v>151</v>
      </c>
      <c r="D30" s="299"/>
      <c r="E30" s="297">
        <v>5225.3999999999996</v>
      </c>
      <c r="F30" s="300"/>
      <c r="G30" s="301"/>
      <c r="H30" s="311"/>
      <c r="I30" s="297">
        <v>5225.3999999999996</v>
      </c>
      <c r="J30" s="300"/>
      <c r="K30" s="302"/>
      <c r="L30" s="737"/>
      <c r="M30" s="736">
        <v>830.60127999999997</v>
      </c>
      <c r="N30" s="300"/>
      <c r="O30" s="304"/>
      <c r="P30" s="305"/>
      <c r="Q30" s="306"/>
      <c r="R30" s="390"/>
      <c r="S30" s="390"/>
    </row>
    <row r="31" spans="1:19" s="391" customFormat="1" ht="19.5" customHeight="1" x14ac:dyDescent="0.2">
      <c r="A31" s="892"/>
      <c r="B31" s="894"/>
      <c r="C31" s="754" t="s">
        <v>123</v>
      </c>
      <c r="D31" s="299"/>
      <c r="E31" s="297">
        <v>160</v>
      </c>
      <c r="F31" s="300"/>
      <c r="G31" s="301"/>
      <c r="H31" s="311"/>
      <c r="I31" s="297">
        <v>160</v>
      </c>
      <c r="J31" s="300"/>
      <c r="K31" s="302"/>
      <c r="L31" s="737"/>
      <c r="M31" s="736"/>
      <c r="N31" s="300"/>
      <c r="O31" s="304"/>
      <c r="P31" s="305"/>
      <c r="Q31" s="306"/>
      <c r="R31" s="390"/>
      <c r="S31" s="390"/>
    </row>
    <row r="32" spans="1:19" s="391" customFormat="1" ht="25.5" customHeight="1" x14ac:dyDescent="0.2">
      <c r="A32" s="157" t="s">
        <v>81</v>
      </c>
      <c r="B32" s="158" t="s">
        <v>11</v>
      </c>
      <c r="C32" s="641" t="s">
        <v>151</v>
      </c>
      <c r="D32" s="299"/>
      <c r="E32" s="297">
        <v>960</v>
      </c>
      <c r="F32" s="300"/>
      <c r="G32" s="301"/>
      <c r="H32" s="311"/>
      <c r="I32" s="297">
        <v>960</v>
      </c>
      <c r="J32" s="300"/>
      <c r="K32" s="302"/>
      <c r="L32" s="737"/>
      <c r="M32" s="736">
        <v>480</v>
      </c>
      <c r="N32" s="300"/>
      <c r="O32" s="304"/>
      <c r="P32" s="305"/>
      <c r="Q32" s="306"/>
      <c r="R32" s="390"/>
      <c r="S32" s="390"/>
    </row>
    <row r="33" spans="1:19" s="391" customFormat="1" ht="38.25" x14ac:dyDescent="0.2">
      <c r="A33" s="157" t="s">
        <v>82</v>
      </c>
      <c r="B33" s="158" t="s">
        <v>211</v>
      </c>
      <c r="C33" s="641" t="s">
        <v>151</v>
      </c>
      <c r="D33" s="299"/>
      <c r="E33" s="297">
        <v>2.5</v>
      </c>
      <c r="F33" s="300"/>
      <c r="G33" s="301"/>
      <c r="H33" s="311"/>
      <c r="I33" s="297">
        <v>2.5</v>
      </c>
      <c r="J33" s="300"/>
      <c r="K33" s="302"/>
      <c r="L33" s="737"/>
      <c r="M33" s="736">
        <v>0</v>
      </c>
      <c r="N33" s="300"/>
      <c r="O33" s="304"/>
      <c r="P33" s="305"/>
      <c r="Q33" s="306"/>
      <c r="R33" s="390"/>
      <c r="S33" s="390"/>
    </row>
    <row r="34" spans="1:19" s="391" customFormat="1" ht="38.25" x14ac:dyDescent="0.2">
      <c r="A34" s="157" t="s">
        <v>83</v>
      </c>
      <c r="B34" s="158" t="s">
        <v>212</v>
      </c>
      <c r="C34" s="641" t="s">
        <v>151</v>
      </c>
      <c r="D34" s="299"/>
      <c r="E34" s="297">
        <v>19500</v>
      </c>
      <c r="F34" s="300"/>
      <c r="G34" s="301"/>
      <c r="H34" s="311"/>
      <c r="I34" s="297">
        <v>19500</v>
      </c>
      <c r="J34" s="300"/>
      <c r="K34" s="302"/>
      <c r="L34" s="737"/>
      <c r="M34" s="736">
        <v>9625</v>
      </c>
      <c r="N34" s="300"/>
      <c r="O34" s="304"/>
      <c r="P34" s="305"/>
      <c r="Q34" s="306"/>
      <c r="R34" s="390"/>
      <c r="S34" s="390"/>
    </row>
    <row r="35" spans="1:19" s="391" customFormat="1" ht="25.5" x14ac:dyDescent="0.2">
      <c r="A35" s="157" t="s">
        <v>84</v>
      </c>
      <c r="B35" s="158" t="s">
        <v>213</v>
      </c>
      <c r="C35" s="641" t="s">
        <v>151</v>
      </c>
      <c r="D35" s="299"/>
      <c r="E35" s="297">
        <v>9450</v>
      </c>
      <c r="F35" s="300"/>
      <c r="G35" s="301"/>
      <c r="H35" s="311"/>
      <c r="I35" s="297">
        <v>9450</v>
      </c>
      <c r="J35" s="300"/>
      <c r="K35" s="302"/>
      <c r="L35" s="737"/>
      <c r="M35" s="736">
        <v>6537.1662800000004</v>
      </c>
      <c r="N35" s="300"/>
      <c r="O35" s="304"/>
      <c r="P35" s="305"/>
      <c r="Q35" s="306"/>
      <c r="R35" s="390"/>
      <c r="S35" s="390"/>
    </row>
    <row r="36" spans="1:19" s="391" customFormat="1" ht="38.25" x14ac:dyDescent="0.2">
      <c r="A36" s="157" t="s">
        <v>85</v>
      </c>
      <c r="B36" s="158" t="s">
        <v>214</v>
      </c>
      <c r="C36" s="641" t="s">
        <v>151</v>
      </c>
      <c r="D36" s="299"/>
      <c r="E36" s="297">
        <v>16388</v>
      </c>
      <c r="F36" s="300"/>
      <c r="G36" s="301"/>
      <c r="H36" s="311"/>
      <c r="I36" s="297">
        <v>16388</v>
      </c>
      <c r="J36" s="300"/>
      <c r="K36" s="302"/>
      <c r="L36" s="737"/>
      <c r="M36" s="736">
        <v>10690.835639999999</v>
      </c>
      <c r="N36" s="300"/>
      <c r="O36" s="304"/>
      <c r="P36" s="305"/>
      <c r="Q36" s="306"/>
      <c r="R36" s="390"/>
      <c r="S36" s="390"/>
    </row>
    <row r="37" spans="1:19" s="391" customFormat="1" ht="63.75" x14ac:dyDescent="0.2">
      <c r="A37" s="157" t="s">
        <v>86</v>
      </c>
      <c r="B37" s="158" t="s">
        <v>215</v>
      </c>
      <c r="C37" s="641" t="s">
        <v>151</v>
      </c>
      <c r="D37" s="299"/>
      <c r="E37" s="297">
        <v>6500</v>
      </c>
      <c r="F37" s="300"/>
      <c r="G37" s="301"/>
      <c r="H37" s="311"/>
      <c r="I37" s="297">
        <v>6500</v>
      </c>
      <c r="J37" s="300"/>
      <c r="K37" s="302"/>
      <c r="L37" s="737"/>
      <c r="M37" s="736">
        <v>2888.7667000000001</v>
      </c>
      <c r="N37" s="300"/>
      <c r="O37" s="304"/>
      <c r="P37" s="305"/>
      <c r="Q37" s="306"/>
      <c r="R37" s="390"/>
      <c r="S37" s="390"/>
    </row>
    <row r="38" spans="1:19" s="391" customFormat="1" ht="38.25" x14ac:dyDescent="0.2">
      <c r="A38" s="157" t="s">
        <v>87</v>
      </c>
      <c r="B38" s="158" t="s">
        <v>216</v>
      </c>
      <c r="C38" s="641" t="s">
        <v>151</v>
      </c>
      <c r="D38" s="299"/>
      <c r="E38" s="297">
        <v>4165.3999999999996</v>
      </c>
      <c r="F38" s="300"/>
      <c r="G38" s="301"/>
      <c r="H38" s="311"/>
      <c r="I38" s="297">
        <v>4165.3999999999996</v>
      </c>
      <c r="J38" s="300"/>
      <c r="K38" s="302"/>
      <c r="L38" s="737"/>
      <c r="M38" s="736">
        <v>1998.825</v>
      </c>
      <c r="N38" s="300"/>
      <c r="O38" s="304"/>
      <c r="P38" s="305"/>
      <c r="Q38" s="306"/>
      <c r="R38" s="390"/>
      <c r="S38" s="390"/>
    </row>
    <row r="39" spans="1:19" s="391" customFormat="1" ht="63.75" customHeight="1" x14ac:dyDescent="0.2">
      <c r="A39" s="157" t="s">
        <v>88</v>
      </c>
      <c r="B39" s="158" t="s">
        <v>168</v>
      </c>
      <c r="C39" s="641" t="s">
        <v>151</v>
      </c>
      <c r="D39" s="299"/>
      <c r="E39" s="297">
        <v>38164.199999999997</v>
      </c>
      <c r="F39" s="300"/>
      <c r="G39" s="301"/>
      <c r="H39" s="311"/>
      <c r="I39" s="297">
        <v>38164.199999999997</v>
      </c>
      <c r="J39" s="300"/>
      <c r="K39" s="302"/>
      <c r="L39" s="737"/>
      <c r="M39" s="736">
        <v>15376.33304</v>
      </c>
      <c r="N39" s="300"/>
      <c r="O39" s="304"/>
      <c r="P39" s="305"/>
      <c r="Q39" s="306"/>
      <c r="R39" s="390"/>
      <c r="S39" s="390"/>
    </row>
    <row r="40" spans="1:19" s="391" customFormat="1" ht="51" x14ac:dyDescent="0.2">
      <c r="A40" s="157" t="s">
        <v>89</v>
      </c>
      <c r="B40" s="158" t="s">
        <v>217</v>
      </c>
      <c r="C40" s="641" t="s">
        <v>151</v>
      </c>
      <c r="D40" s="299"/>
      <c r="E40" s="297">
        <v>3500</v>
      </c>
      <c r="F40" s="300"/>
      <c r="G40" s="301"/>
      <c r="H40" s="311"/>
      <c r="I40" s="297">
        <v>3500</v>
      </c>
      <c r="J40" s="300"/>
      <c r="K40" s="302"/>
      <c r="L40" s="737"/>
      <c r="M40" s="736">
        <v>3319.8110000000001</v>
      </c>
      <c r="N40" s="300"/>
      <c r="O40" s="304"/>
      <c r="P40" s="305"/>
      <c r="Q40" s="306"/>
      <c r="R40" s="390"/>
      <c r="S40" s="390"/>
    </row>
    <row r="41" spans="1:19" s="391" customFormat="1" ht="51" customHeight="1" x14ac:dyDescent="0.2">
      <c r="A41" s="157" t="s">
        <v>90</v>
      </c>
      <c r="B41" s="158" t="s">
        <v>218</v>
      </c>
      <c r="C41" s="641" t="s">
        <v>151</v>
      </c>
      <c r="D41" s="299"/>
      <c r="E41" s="297">
        <v>94637.5</v>
      </c>
      <c r="F41" s="300"/>
      <c r="G41" s="301"/>
      <c r="H41" s="311"/>
      <c r="I41" s="297">
        <v>94637.5</v>
      </c>
      <c r="J41" s="300"/>
      <c r="K41" s="302"/>
      <c r="L41" s="737"/>
      <c r="M41" s="736">
        <v>90291.663809999998</v>
      </c>
      <c r="N41" s="300"/>
      <c r="O41" s="304"/>
      <c r="P41" s="305"/>
      <c r="Q41" s="306"/>
      <c r="R41" s="390"/>
      <c r="S41" s="390"/>
    </row>
    <row r="42" spans="1:19" s="391" customFormat="1" ht="25.5" x14ac:dyDescent="0.2">
      <c r="A42" s="157" t="s">
        <v>91</v>
      </c>
      <c r="B42" s="158" t="s">
        <v>219</v>
      </c>
      <c r="C42" s="641" t="s">
        <v>151</v>
      </c>
      <c r="D42" s="299"/>
      <c r="E42" s="297">
        <v>152.30000000000001</v>
      </c>
      <c r="F42" s="300"/>
      <c r="G42" s="301"/>
      <c r="H42" s="311"/>
      <c r="I42" s="297">
        <v>152.30000000000001</v>
      </c>
      <c r="J42" s="300"/>
      <c r="K42" s="302"/>
      <c r="L42" s="737"/>
      <c r="M42" s="736">
        <v>0</v>
      </c>
      <c r="N42" s="300"/>
      <c r="O42" s="304"/>
      <c r="P42" s="305"/>
      <c r="Q42" s="306"/>
      <c r="R42" s="390"/>
      <c r="S42" s="390"/>
    </row>
    <row r="43" spans="1:19" ht="131.25" customHeight="1" x14ac:dyDescent="0.25">
      <c r="A43" s="157" t="s">
        <v>92</v>
      </c>
      <c r="B43" s="158" t="s">
        <v>220</v>
      </c>
      <c r="C43" s="641" t="s">
        <v>151</v>
      </c>
      <c r="D43" s="299"/>
      <c r="E43" s="297">
        <v>1194</v>
      </c>
      <c r="F43" s="300"/>
      <c r="G43" s="301"/>
      <c r="H43" s="311"/>
      <c r="I43" s="297">
        <v>1194</v>
      </c>
      <c r="J43" s="300"/>
      <c r="K43" s="302"/>
      <c r="L43" s="737"/>
      <c r="M43" s="736">
        <v>459.24450999999999</v>
      </c>
      <c r="N43" s="300"/>
      <c r="O43" s="304"/>
      <c r="P43" s="305"/>
      <c r="Q43" s="306"/>
    </row>
    <row r="44" spans="1:19" ht="25.5" x14ac:dyDescent="0.25">
      <c r="A44" s="157" t="s">
        <v>93</v>
      </c>
      <c r="B44" s="158" t="s">
        <v>221</v>
      </c>
      <c r="C44" s="641" t="s">
        <v>151</v>
      </c>
      <c r="D44" s="299"/>
      <c r="E44" s="297">
        <v>1300</v>
      </c>
      <c r="F44" s="300"/>
      <c r="G44" s="301"/>
      <c r="H44" s="311"/>
      <c r="I44" s="297">
        <v>1300</v>
      </c>
      <c r="J44" s="300"/>
      <c r="K44" s="302"/>
      <c r="L44" s="737"/>
      <c r="M44" s="736">
        <v>2.5507499999999999</v>
      </c>
      <c r="N44" s="300"/>
      <c r="O44" s="304"/>
      <c r="P44" s="305"/>
      <c r="Q44" s="306"/>
    </row>
    <row r="45" spans="1:19" ht="89.25" x14ac:dyDescent="0.25">
      <c r="A45" s="157" t="s">
        <v>94</v>
      </c>
      <c r="B45" s="158" t="s">
        <v>12</v>
      </c>
      <c r="C45" s="641" t="s">
        <v>151</v>
      </c>
      <c r="D45" s="299"/>
      <c r="E45" s="297">
        <v>56.2</v>
      </c>
      <c r="F45" s="300"/>
      <c r="G45" s="301"/>
      <c r="H45" s="311"/>
      <c r="I45" s="297">
        <v>56.2</v>
      </c>
      <c r="J45" s="300"/>
      <c r="K45" s="302"/>
      <c r="L45" s="737"/>
      <c r="M45" s="736">
        <v>31.641310000000001</v>
      </c>
      <c r="N45" s="300"/>
      <c r="O45" s="304"/>
      <c r="P45" s="305"/>
      <c r="Q45" s="306"/>
    </row>
    <row r="46" spans="1:19" ht="63.75" x14ac:dyDescent="0.25">
      <c r="A46" s="157" t="s">
        <v>95</v>
      </c>
      <c r="B46" s="158" t="s">
        <v>13</v>
      </c>
      <c r="C46" s="641" t="s">
        <v>151</v>
      </c>
      <c r="D46" s="299"/>
      <c r="E46" s="297">
        <v>905</v>
      </c>
      <c r="F46" s="300"/>
      <c r="G46" s="301"/>
      <c r="H46" s="311"/>
      <c r="I46" s="297">
        <v>905</v>
      </c>
      <c r="J46" s="300"/>
      <c r="K46" s="302"/>
      <c r="L46" s="737"/>
      <c r="M46" s="736">
        <v>442.29192</v>
      </c>
      <c r="N46" s="300"/>
      <c r="O46" s="304"/>
      <c r="P46" s="305"/>
      <c r="Q46" s="306"/>
    </row>
    <row r="47" spans="1:19" ht="38.25" x14ac:dyDescent="0.25">
      <c r="A47" s="157" t="s">
        <v>96</v>
      </c>
      <c r="B47" s="158" t="s">
        <v>222</v>
      </c>
      <c r="C47" s="641" t="s">
        <v>151</v>
      </c>
      <c r="D47" s="299"/>
      <c r="E47" s="297">
        <v>5300</v>
      </c>
      <c r="F47" s="300"/>
      <c r="G47" s="301"/>
      <c r="H47" s="311"/>
      <c r="I47" s="297">
        <v>5300</v>
      </c>
      <c r="J47" s="300"/>
      <c r="K47" s="302"/>
      <c r="L47" s="737"/>
      <c r="M47" s="738">
        <v>3717.3773999999999</v>
      </c>
      <c r="N47" s="300"/>
      <c r="O47" s="304"/>
      <c r="P47" s="305"/>
      <c r="Q47" s="306"/>
    </row>
    <row r="48" spans="1:19" s="249" customFormat="1" ht="81" customHeight="1" x14ac:dyDescent="0.25">
      <c r="A48" s="157" t="s">
        <v>97</v>
      </c>
      <c r="B48" s="158" t="s">
        <v>14</v>
      </c>
      <c r="C48" s="641" t="s">
        <v>151</v>
      </c>
      <c r="D48" s="299"/>
      <c r="E48" s="297">
        <v>1000</v>
      </c>
      <c r="F48" s="300"/>
      <c r="G48" s="301"/>
      <c r="H48" s="311"/>
      <c r="I48" s="297">
        <v>1000</v>
      </c>
      <c r="J48" s="300"/>
      <c r="K48" s="302"/>
      <c r="L48" s="737"/>
      <c r="M48" s="736">
        <v>0</v>
      </c>
      <c r="N48" s="300"/>
      <c r="O48" s="304"/>
      <c r="P48" s="305"/>
      <c r="Q48" s="306"/>
      <c r="R48" s="319"/>
      <c r="S48" s="319"/>
    </row>
    <row r="49" spans="1:24" ht="114.75" x14ac:dyDescent="0.25">
      <c r="A49" s="157" t="s">
        <v>98</v>
      </c>
      <c r="B49" s="632" t="s">
        <v>120</v>
      </c>
      <c r="C49" s="641" t="s">
        <v>151</v>
      </c>
      <c r="D49" s="299">
        <v>30295.29</v>
      </c>
      <c r="E49" s="307">
        <v>12762.1</v>
      </c>
      <c r="F49" s="205"/>
      <c r="G49" s="398"/>
      <c r="H49" s="299">
        <v>30295.29</v>
      </c>
      <c r="I49" s="307">
        <v>12762.1</v>
      </c>
      <c r="J49" s="205"/>
      <c r="K49" s="399"/>
      <c r="L49" s="739">
        <v>2212.5408900000002</v>
      </c>
      <c r="M49" s="740">
        <f>903.71389+15.52044+62.37331</f>
        <v>981.60763999999995</v>
      </c>
      <c r="N49" s="205"/>
      <c r="O49" s="401"/>
      <c r="P49" s="348"/>
      <c r="Q49" s="318"/>
    </row>
    <row r="50" spans="1:24" ht="153" customHeight="1" x14ac:dyDescent="0.25">
      <c r="A50" s="157" t="s">
        <v>99</v>
      </c>
      <c r="B50" s="632" t="s">
        <v>150</v>
      </c>
      <c r="C50" s="641" t="s">
        <v>151</v>
      </c>
      <c r="D50" s="299"/>
      <c r="E50" s="307">
        <v>1101.4000000000001</v>
      </c>
      <c r="F50" s="205"/>
      <c r="G50" s="398"/>
      <c r="H50" s="311"/>
      <c r="I50" s="307">
        <v>1101.4000000000001</v>
      </c>
      <c r="J50" s="205"/>
      <c r="K50" s="399"/>
      <c r="L50" s="739"/>
      <c r="M50" s="741">
        <v>50.286520000000003</v>
      </c>
      <c r="N50" s="205"/>
      <c r="O50" s="401"/>
      <c r="P50" s="348"/>
      <c r="Q50" s="318"/>
    </row>
    <row r="51" spans="1:24" ht="102" x14ac:dyDescent="0.25">
      <c r="A51" s="157" t="s">
        <v>100</v>
      </c>
      <c r="B51" s="158" t="s">
        <v>15</v>
      </c>
      <c r="C51" s="641" t="s">
        <v>151</v>
      </c>
      <c r="D51" s="299">
        <v>32177.200000000001</v>
      </c>
      <c r="E51" s="297"/>
      <c r="F51" s="205"/>
      <c r="G51" s="398"/>
      <c r="H51" s="299">
        <v>32177.200000000001</v>
      </c>
      <c r="I51" s="297"/>
      <c r="J51" s="205"/>
      <c r="K51" s="399"/>
      <c r="L51" s="739">
        <v>15015.78</v>
      </c>
      <c r="M51" s="736"/>
      <c r="N51" s="205"/>
      <c r="O51" s="401"/>
      <c r="P51" s="348"/>
      <c r="Q51" s="318"/>
    </row>
    <row r="52" spans="1:24" ht="51" x14ac:dyDescent="0.25">
      <c r="A52" s="157" t="s">
        <v>101</v>
      </c>
      <c r="B52" s="158" t="s">
        <v>16</v>
      </c>
      <c r="C52" s="641" t="s">
        <v>151</v>
      </c>
      <c r="D52" s="299">
        <v>126217</v>
      </c>
      <c r="E52" s="297"/>
      <c r="F52" s="205"/>
      <c r="G52" s="398"/>
      <c r="H52" s="299">
        <v>126217</v>
      </c>
      <c r="I52" s="297"/>
      <c r="J52" s="205"/>
      <c r="K52" s="398"/>
      <c r="L52" s="741">
        <v>103789.09894</v>
      </c>
      <c r="M52" s="736"/>
      <c r="N52" s="205"/>
      <c r="O52" s="401"/>
      <c r="P52" s="348"/>
      <c r="Q52" s="402"/>
    </row>
    <row r="53" spans="1:24" ht="38.25" x14ac:dyDescent="0.25">
      <c r="A53" s="157" t="s">
        <v>102</v>
      </c>
      <c r="B53" s="158" t="s">
        <v>223</v>
      </c>
      <c r="C53" s="641" t="s">
        <v>151</v>
      </c>
      <c r="D53" s="299">
        <v>206.2</v>
      </c>
      <c r="E53" s="297"/>
      <c r="F53" s="205"/>
      <c r="G53" s="398"/>
      <c r="H53" s="299">
        <v>206.2</v>
      </c>
      <c r="I53" s="297"/>
      <c r="J53" s="205"/>
      <c r="K53" s="399"/>
      <c r="L53" s="739">
        <v>79.312340000000006</v>
      </c>
      <c r="M53" s="736"/>
      <c r="N53" s="205"/>
      <c r="O53" s="401"/>
      <c r="P53" s="348"/>
      <c r="Q53" s="318"/>
    </row>
    <row r="54" spans="1:24" ht="51" x14ac:dyDescent="0.25">
      <c r="A54" s="157" t="s">
        <v>103</v>
      </c>
      <c r="B54" s="158" t="s">
        <v>224</v>
      </c>
      <c r="C54" s="641" t="s">
        <v>151</v>
      </c>
      <c r="D54" s="299">
        <v>942860.3</v>
      </c>
      <c r="E54" s="297"/>
      <c r="F54" s="205"/>
      <c r="G54" s="398"/>
      <c r="H54" s="299">
        <v>942860.3</v>
      </c>
      <c r="I54" s="297"/>
      <c r="J54" s="205"/>
      <c r="K54" s="399"/>
      <c r="L54" s="739">
        <v>482854.61703999998</v>
      </c>
      <c r="M54" s="736"/>
      <c r="N54" s="205"/>
      <c r="O54" s="401"/>
      <c r="P54" s="348"/>
      <c r="Q54" s="318"/>
    </row>
    <row r="55" spans="1:24" ht="38.25" x14ac:dyDescent="0.25">
      <c r="A55" s="157" t="s">
        <v>121</v>
      </c>
      <c r="B55" s="158" t="s">
        <v>104</v>
      </c>
      <c r="C55" s="641" t="s">
        <v>151</v>
      </c>
      <c r="D55" s="299">
        <v>34037.199999999997</v>
      </c>
      <c r="E55" s="297"/>
      <c r="F55" s="205"/>
      <c r="G55" s="398"/>
      <c r="H55" s="311">
        <v>34037.199999999997</v>
      </c>
      <c r="I55" s="297"/>
      <c r="J55" s="205"/>
      <c r="K55" s="399"/>
      <c r="L55" s="739">
        <v>15684.76103</v>
      </c>
      <c r="M55" s="736"/>
      <c r="N55" s="205"/>
      <c r="O55" s="401"/>
      <c r="P55" s="348"/>
      <c r="Q55" s="318"/>
    </row>
    <row r="56" spans="1:24" ht="38.25" x14ac:dyDescent="0.25">
      <c r="A56" s="157" t="s">
        <v>381</v>
      </c>
      <c r="B56" s="158" t="s">
        <v>225</v>
      </c>
      <c r="C56" s="641" t="s">
        <v>151</v>
      </c>
      <c r="D56" s="299">
        <v>139.1</v>
      </c>
      <c r="E56" s="297"/>
      <c r="F56" s="205"/>
      <c r="G56" s="398"/>
      <c r="H56" s="311">
        <v>139.1</v>
      </c>
      <c r="I56" s="297"/>
      <c r="J56" s="205"/>
      <c r="K56" s="399"/>
      <c r="L56" s="739">
        <v>98.198329999999999</v>
      </c>
      <c r="M56" s="736"/>
      <c r="N56" s="205"/>
      <c r="O56" s="401"/>
      <c r="P56" s="348"/>
      <c r="Q56" s="318"/>
    </row>
    <row r="57" spans="1:24" ht="25.5" x14ac:dyDescent="0.25">
      <c r="A57" s="173" t="s">
        <v>105</v>
      </c>
      <c r="B57" s="174" t="s">
        <v>106</v>
      </c>
      <c r="C57" s="641" t="s">
        <v>151</v>
      </c>
      <c r="D57" s="299">
        <f>D58+D59</f>
        <v>0</v>
      </c>
      <c r="E57" s="311">
        <f>E58+E59</f>
        <v>12400</v>
      </c>
      <c r="F57" s="205"/>
      <c r="G57" s="398"/>
      <c r="H57" s="299">
        <f>H58+H59</f>
        <v>0</v>
      </c>
      <c r="I57" s="311">
        <f>I58+I59</f>
        <v>12400</v>
      </c>
      <c r="J57" s="205"/>
      <c r="K57" s="399"/>
      <c r="L57" s="739">
        <f>L58+L59</f>
        <v>0</v>
      </c>
      <c r="M57" s="742">
        <f>M58+M59</f>
        <v>5860.91752</v>
      </c>
      <c r="N57" s="205"/>
      <c r="O57" s="401"/>
      <c r="P57" s="403"/>
      <c r="Q57" s="404"/>
    </row>
    <row r="58" spans="1:24" ht="113.25" customHeight="1" x14ac:dyDescent="0.25">
      <c r="A58" s="177" t="s">
        <v>19</v>
      </c>
      <c r="B58" s="161" t="s">
        <v>274</v>
      </c>
      <c r="C58" s="641" t="s">
        <v>151</v>
      </c>
      <c r="D58" s="405"/>
      <c r="E58" s="309">
        <v>10000</v>
      </c>
      <c r="F58" s="370"/>
      <c r="G58" s="406"/>
      <c r="H58" s="535"/>
      <c r="I58" s="309">
        <v>10000</v>
      </c>
      <c r="J58" s="370"/>
      <c r="K58" s="407"/>
      <c r="L58" s="743"/>
      <c r="M58" s="744">
        <v>5860.91752</v>
      </c>
      <c r="N58" s="370"/>
      <c r="O58" s="408"/>
      <c r="P58" s="409"/>
      <c r="Q58" s="318"/>
    </row>
    <row r="59" spans="1:24" ht="81" customHeight="1" x14ac:dyDescent="0.25">
      <c r="A59" s="177" t="s">
        <v>20</v>
      </c>
      <c r="B59" s="161" t="s">
        <v>350</v>
      </c>
      <c r="C59" s="641" t="s">
        <v>151</v>
      </c>
      <c r="D59" s="405"/>
      <c r="E59" s="647">
        <v>2400</v>
      </c>
      <c r="F59" s="370"/>
      <c r="G59" s="406"/>
      <c r="H59" s="535"/>
      <c r="I59" s="647">
        <v>2400</v>
      </c>
      <c r="J59" s="370"/>
      <c r="K59" s="407"/>
      <c r="L59" s="743"/>
      <c r="M59" s="745">
        <v>0</v>
      </c>
      <c r="N59" s="370"/>
      <c r="O59" s="408"/>
      <c r="P59" s="409"/>
      <c r="Q59" s="318"/>
    </row>
    <row r="60" spans="1:24" ht="48" customHeight="1" x14ac:dyDescent="0.25">
      <c r="A60" s="173" t="s">
        <v>50</v>
      </c>
      <c r="B60" s="174" t="s">
        <v>107</v>
      </c>
      <c r="C60" s="559" t="s">
        <v>329</v>
      </c>
      <c r="D60" s="439">
        <f>D61+D63+D62</f>
        <v>1891.8</v>
      </c>
      <c r="E60" s="410">
        <f>E61+E63+E62</f>
        <v>24181</v>
      </c>
      <c r="F60" s="205"/>
      <c r="G60" s="398"/>
      <c r="H60" s="311">
        <f>H61+H63+H62</f>
        <v>1891.8</v>
      </c>
      <c r="I60" s="311">
        <f>I61+I63+I62</f>
        <v>24181</v>
      </c>
      <c r="J60" s="205"/>
      <c r="K60" s="399"/>
      <c r="L60" s="739">
        <f>L61+L63</f>
        <v>0</v>
      </c>
      <c r="M60" s="742">
        <f>M61+M63+M62</f>
        <v>3703.94</v>
      </c>
      <c r="N60" s="205"/>
      <c r="O60" s="401"/>
      <c r="P60" s="403"/>
      <c r="Q60" s="318"/>
    </row>
    <row r="61" spans="1:24" ht="68.25" customHeight="1" x14ac:dyDescent="0.25">
      <c r="A61" s="178" t="s">
        <v>32</v>
      </c>
      <c r="B61" s="161" t="s">
        <v>276</v>
      </c>
      <c r="C61" s="559" t="s">
        <v>320</v>
      </c>
      <c r="D61" s="431"/>
      <c r="E61" s="295">
        <v>21589</v>
      </c>
      <c r="F61" s="368"/>
      <c r="G61" s="411"/>
      <c r="H61" s="310"/>
      <c r="I61" s="295">
        <v>21589</v>
      </c>
      <c r="J61" s="368"/>
      <c r="K61" s="528"/>
      <c r="L61" s="746"/>
      <c r="M61" s="734">
        <v>3703.94</v>
      </c>
      <c r="N61" s="368"/>
      <c r="O61" s="412"/>
      <c r="P61" s="413"/>
      <c r="Q61" s="318"/>
    </row>
    <row r="62" spans="1:24" ht="28.5" customHeight="1" x14ac:dyDescent="0.25">
      <c r="A62" s="898" t="s">
        <v>39</v>
      </c>
      <c r="B62" s="900" t="s">
        <v>277</v>
      </c>
      <c r="C62" s="559" t="s">
        <v>151</v>
      </c>
      <c r="D62" s="299">
        <v>492</v>
      </c>
      <c r="E62" s="297">
        <v>192</v>
      </c>
      <c r="F62" s="205"/>
      <c r="G62" s="398"/>
      <c r="H62" s="299">
        <v>492</v>
      </c>
      <c r="I62" s="297">
        <v>192</v>
      </c>
      <c r="J62" s="205"/>
      <c r="K62" s="399"/>
      <c r="L62" s="739">
        <v>0</v>
      </c>
      <c r="M62" s="736">
        <v>0</v>
      </c>
      <c r="N62" s="205"/>
      <c r="O62" s="401"/>
      <c r="P62" s="414"/>
      <c r="Q62" s="318"/>
    </row>
    <row r="63" spans="1:24" s="249" customFormat="1" ht="129.75" customHeight="1" thickBot="1" x14ac:dyDescent="0.3">
      <c r="A63" s="899"/>
      <c r="B63" s="901"/>
      <c r="C63" s="559" t="s">
        <v>320</v>
      </c>
      <c r="D63" s="581">
        <v>1399.8</v>
      </c>
      <c r="E63" s="312">
        <v>2400</v>
      </c>
      <c r="F63" s="313"/>
      <c r="G63" s="314"/>
      <c r="H63" s="581">
        <v>1399.8</v>
      </c>
      <c r="I63" s="312">
        <v>2400</v>
      </c>
      <c r="J63" s="313"/>
      <c r="K63" s="606"/>
      <c r="L63" s="747">
        <v>0</v>
      </c>
      <c r="M63" s="748">
        <v>0</v>
      </c>
      <c r="N63" s="313"/>
      <c r="O63" s="316"/>
      <c r="P63" s="317"/>
      <c r="Q63" s="318"/>
      <c r="R63" s="319"/>
      <c r="S63" s="319"/>
    </row>
    <row r="64" spans="1:24" s="425" customFormat="1" ht="16.5" thickBot="1" x14ac:dyDescent="0.3">
      <c r="A64" s="415"/>
      <c r="B64" s="320" t="s">
        <v>165</v>
      </c>
      <c r="C64" s="551"/>
      <c r="D64" s="321">
        <f>D9+D57+D60</f>
        <v>1167824.0900000003</v>
      </c>
      <c r="E64" s="322">
        <f>E9+E57+E60</f>
        <v>3864583.8000000003</v>
      </c>
      <c r="F64" s="416"/>
      <c r="G64" s="417"/>
      <c r="H64" s="564">
        <f>H9+H57+H60</f>
        <v>1167824.0900000003</v>
      </c>
      <c r="I64" s="323">
        <f>I9+I57+I60</f>
        <v>3864583.8000000003</v>
      </c>
      <c r="J64" s="416"/>
      <c r="K64" s="520"/>
      <c r="L64" s="749">
        <f>L9+L57+L60</f>
        <v>619734.30856999999</v>
      </c>
      <c r="M64" s="749">
        <f>M9+M57+M60</f>
        <v>2832715.7718900004</v>
      </c>
      <c r="N64" s="416"/>
      <c r="O64" s="418"/>
      <c r="P64" s="419"/>
      <c r="Q64" s="420"/>
      <c r="R64" s="421"/>
      <c r="S64" s="422"/>
      <c r="T64" s="423"/>
      <c r="U64" s="424"/>
      <c r="V64" s="424"/>
      <c r="W64" s="424"/>
      <c r="X64" s="424"/>
    </row>
    <row r="65" spans="1:24" s="425" customFormat="1" ht="16.5" hidden="1" thickBot="1" x14ac:dyDescent="0.3">
      <c r="A65" s="426"/>
      <c r="B65" s="324"/>
      <c r="C65" s="552"/>
      <c r="D65" s="582"/>
      <c r="E65" s="325"/>
      <c r="F65" s="427"/>
      <c r="G65" s="583"/>
      <c r="H65" s="325">
        <f>H64+I64-H63-I63-I61-I31</f>
        <v>5006859.0900000008</v>
      </c>
      <c r="I65" s="325"/>
      <c r="J65" s="427"/>
      <c r="K65" s="427"/>
      <c r="L65" s="582"/>
      <c r="M65" s="325">
        <f>M64-M63-M61-M31</f>
        <v>2829011.8318900005</v>
      </c>
      <c r="N65" s="427"/>
      <c r="O65" s="419"/>
      <c r="P65" s="419"/>
      <c r="Q65" s="420"/>
      <c r="R65" s="421"/>
      <c r="S65" s="422"/>
      <c r="T65" s="423"/>
      <c r="U65" s="424"/>
      <c r="V65" s="424"/>
      <c r="W65" s="424"/>
      <c r="X65" s="424"/>
    </row>
    <row r="66" spans="1:24" ht="19.5" customHeight="1" thickBot="1" x14ac:dyDescent="0.35">
      <c r="A66" s="902" t="s">
        <v>170</v>
      </c>
      <c r="B66" s="903"/>
      <c r="C66" s="903"/>
      <c r="D66" s="903"/>
      <c r="E66" s="903"/>
      <c r="F66" s="903"/>
      <c r="G66" s="903"/>
      <c r="H66" s="903"/>
      <c r="I66" s="903"/>
      <c r="J66" s="903"/>
      <c r="K66" s="903"/>
      <c r="L66" s="903"/>
      <c r="M66" s="903"/>
      <c r="N66" s="903"/>
      <c r="O66" s="903"/>
      <c r="P66" s="904"/>
      <c r="Q66" s="306"/>
    </row>
    <row r="67" spans="1:24" ht="38.25" customHeight="1" x14ac:dyDescent="0.3">
      <c r="A67" s="254" t="s">
        <v>108</v>
      </c>
      <c r="B67" s="255" t="s">
        <v>69</v>
      </c>
      <c r="C67" s="641" t="s">
        <v>151</v>
      </c>
      <c r="D67" s="508">
        <f>D68+D69+D70+D71+D72+D73+D74+D75+D76+D77+D78+D79+D80+D81+D82+D83+D84+D85+D86+D87+D88+D89+D90+D91+D92</f>
        <v>807570.1</v>
      </c>
      <c r="E67" s="509">
        <f>E68+E69+E70+E71+E72+E73+E74+E75+E76+E77+E78+E79+E80+E81+E82+E83+E84+E85+E86+E87+E88+E89+E90+E91+E92</f>
        <v>1633242.1</v>
      </c>
      <c r="F67" s="572"/>
      <c r="G67" s="511"/>
      <c r="H67" s="572">
        <f>H68+H69+H70+H71+H72+H73+H74+H75+H76+H77+H78+H79+H80+H81+H82+H83+H84+H85+H86+H87+H88+H89+H90+H91+H92</f>
        <v>807570.1</v>
      </c>
      <c r="I67" s="509">
        <f>I68+I69+I70+I71+I72+I73+I74+I75+I76+I77+I78+I79+I80+I81+I82+I83+I84+I85+I86+I87+I88+I89+I90+I91+I92</f>
        <v>1633242.1</v>
      </c>
      <c r="J67" s="509"/>
      <c r="K67" s="649"/>
      <c r="L67" s="650">
        <f>L68+L69+L70+L71+L72+L73+L74+L75+L76+L77+L78+L79+L80+L81+L82+L83+L84+L85+L86+L87+L88+L89+L90+L91+L92</f>
        <v>342198.03649000003</v>
      </c>
      <c r="M67" s="509">
        <f>M68+M69+M70+M71+M72+M73+M74+M75+M76+M77+M78+M79+M80+M81+M82+M83+M84+M85+M86+M87+M88+M89+M90+M91+M92</f>
        <v>1009308.4061500001</v>
      </c>
      <c r="N67" s="429"/>
      <c r="O67" s="428"/>
      <c r="P67" s="429"/>
      <c r="Q67" s="430"/>
      <c r="R67" s="319"/>
    </row>
    <row r="68" spans="1:24" ht="38.25" x14ac:dyDescent="0.25">
      <c r="A68" s="165" t="s">
        <v>187</v>
      </c>
      <c r="B68" s="166" t="s">
        <v>226</v>
      </c>
      <c r="C68" s="641" t="s">
        <v>151</v>
      </c>
      <c r="D68" s="431"/>
      <c r="E68" s="295">
        <v>232028</v>
      </c>
      <c r="F68" s="432"/>
      <c r="G68" s="433"/>
      <c r="H68" s="310"/>
      <c r="I68" s="295">
        <v>232028</v>
      </c>
      <c r="J68" s="432"/>
      <c r="K68" s="434"/>
      <c r="L68" s="435"/>
      <c r="M68" s="326">
        <v>165327.93575</v>
      </c>
      <c r="N68" s="353"/>
      <c r="O68" s="354"/>
      <c r="P68" s="356"/>
      <c r="Q68" s="306"/>
    </row>
    <row r="69" spans="1:24" ht="63.75" x14ac:dyDescent="0.25">
      <c r="A69" s="157" t="s">
        <v>188</v>
      </c>
      <c r="B69" s="158" t="s">
        <v>227</v>
      </c>
      <c r="C69" s="641" t="s">
        <v>151</v>
      </c>
      <c r="D69" s="299"/>
      <c r="E69" s="297">
        <v>3600</v>
      </c>
      <c r="F69" s="300"/>
      <c r="G69" s="301"/>
      <c r="H69" s="311"/>
      <c r="I69" s="295">
        <v>3600</v>
      </c>
      <c r="J69" s="300"/>
      <c r="K69" s="302"/>
      <c r="L69" s="436"/>
      <c r="M69" s="156">
        <v>1200</v>
      </c>
      <c r="N69" s="278"/>
      <c r="O69" s="304"/>
      <c r="P69" s="305"/>
      <c r="Q69" s="306"/>
    </row>
    <row r="70" spans="1:24" ht="76.5" customHeight="1" x14ac:dyDescent="0.25">
      <c r="A70" s="157" t="s">
        <v>189</v>
      </c>
      <c r="B70" s="158" t="s">
        <v>21</v>
      </c>
      <c r="C70" s="641" t="s">
        <v>151</v>
      </c>
      <c r="D70" s="299"/>
      <c r="E70" s="297">
        <v>2500</v>
      </c>
      <c r="F70" s="300"/>
      <c r="G70" s="301"/>
      <c r="H70" s="311"/>
      <c r="I70" s="295">
        <v>2500</v>
      </c>
      <c r="J70" s="300"/>
      <c r="K70" s="302"/>
      <c r="L70" s="436"/>
      <c r="M70" s="156">
        <v>1347.00316</v>
      </c>
      <c r="N70" s="278"/>
      <c r="O70" s="304"/>
      <c r="P70" s="305"/>
      <c r="Q70" s="306"/>
    </row>
    <row r="71" spans="1:24" ht="92.25" customHeight="1" x14ac:dyDescent="0.25">
      <c r="A71" s="157" t="s">
        <v>190</v>
      </c>
      <c r="B71" s="158" t="s">
        <v>228</v>
      </c>
      <c r="C71" s="641" t="s">
        <v>151</v>
      </c>
      <c r="D71" s="299"/>
      <c r="E71" s="297">
        <v>5000</v>
      </c>
      <c r="F71" s="300"/>
      <c r="G71" s="301"/>
      <c r="H71" s="311"/>
      <c r="I71" s="295">
        <v>5000</v>
      </c>
      <c r="J71" s="300"/>
      <c r="K71" s="302"/>
      <c r="L71" s="436"/>
      <c r="M71" s="156">
        <v>816.64733000000001</v>
      </c>
      <c r="N71" s="278"/>
      <c r="O71" s="304"/>
      <c r="P71" s="305"/>
      <c r="Q71" s="306"/>
    </row>
    <row r="72" spans="1:24" ht="67.5" customHeight="1" x14ac:dyDescent="0.25">
      <c r="A72" s="157" t="s">
        <v>191</v>
      </c>
      <c r="B72" s="158" t="s">
        <v>23</v>
      </c>
      <c r="C72" s="641" t="s">
        <v>151</v>
      </c>
      <c r="D72" s="299"/>
      <c r="E72" s="297">
        <v>126</v>
      </c>
      <c r="F72" s="300"/>
      <c r="G72" s="301"/>
      <c r="H72" s="311"/>
      <c r="I72" s="295">
        <v>126</v>
      </c>
      <c r="J72" s="300"/>
      <c r="K72" s="302"/>
      <c r="L72" s="436"/>
      <c r="M72" s="156">
        <v>0</v>
      </c>
      <c r="N72" s="278"/>
      <c r="O72" s="304"/>
      <c r="P72" s="305"/>
      <c r="Q72" s="306"/>
    </row>
    <row r="73" spans="1:24" ht="114.75" x14ac:dyDescent="0.25">
      <c r="A73" s="157" t="s">
        <v>17</v>
      </c>
      <c r="B73" s="158" t="s">
        <v>24</v>
      </c>
      <c r="C73" s="641" t="s">
        <v>151</v>
      </c>
      <c r="D73" s="299"/>
      <c r="E73" s="327">
        <v>826</v>
      </c>
      <c r="F73" s="437"/>
      <c r="G73" s="438"/>
      <c r="H73" s="410"/>
      <c r="I73" s="327">
        <v>826</v>
      </c>
      <c r="J73" s="437"/>
      <c r="K73" s="440"/>
      <c r="L73" s="441"/>
      <c r="M73" s="156">
        <v>823.35799999999995</v>
      </c>
      <c r="N73" s="278"/>
      <c r="O73" s="304"/>
      <c r="P73" s="305"/>
      <c r="Q73" s="306"/>
    </row>
    <row r="74" spans="1:24" ht="39" customHeight="1" x14ac:dyDescent="0.25">
      <c r="A74" s="157" t="s">
        <v>18</v>
      </c>
      <c r="B74" s="158" t="s">
        <v>231</v>
      </c>
      <c r="C74" s="641" t="s">
        <v>151</v>
      </c>
      <c r="D74" s="299"/>
      <c r="E74" s="297">
        <v>150757</v>
      </c>
      <c r="F74" s="300"/>
      <c r="G74" s="301"/>
      <c r="H74" s="311"/>
      <c r="I74" s="297">
        <v>150757</v>
      </c>
      <c r="J74" s="300"/>
      <c r="K74" s="302"/>
      <c r="L74" s="436"/>
      <c r="M74" s="156">
        <v>105322.47331</v>
      </c>
      <c r="N74" s="278"/>
      <c r="O74" s="304"/>
      <c r="P74" s="305"/>
      <c r="Q74" s="306"/>
    </row>
    <row r="75" spans="1:24" ht="119.25" customHeight="1" x14ac:dyDescent="0.25">
      <c r="A75" s="157" t="s">
        <v>64</v>
      </c>
      <c r="B75" s="158" t="s">
        <v>232</v>
      </c>
      <c r="C75" s="641" t="s">
        <v>151</v>
      </c>
      <c r="D75" s="299"/>
      <c r="E75" s="297">
        <v>461</v>
      </c>
      <c r="F75" s="300"/>
      <c r="G75" s="301"/>
      <c r="H75" s="311"/>
      <c r="I75" s="295">
        <v>461</v>
      </c>
      <c r="J75" s="300"/>
      <c r="K75" s="302"/>
      <c r="L75" s="436"/>
      <c r="M75" s="298">
        <v>256.87858</v>
      </c>
      <c r="N75" s="278"/>
      <c r="O75" s="304"/>
      <c r="P75" s="305"/>
      <c r="Q75" s="306"/>
    </row>
    <row r="76" spans="1:24" ht="25.5" x14ac:dyDescent="0.25">
      <c r="A76" s="157" t="s">
        <v>275</v>
      </c>
      <c r="B76" s="158" t="s">
        <v>233</v>
      </c>
      <c r="C76" s="641" t="s">
        <v>151</v>
      </c>
      <c r="D76" s="299"/>
      <c r="E76" s="327">
        <v>7390</v>
      </c>
      <c r="F76" s="437"/>
      <c r="G76" s="438"/>
      <c r="H76" s="410"/>
      <c r="I76" s="295">
        <v>7390</v>
      </c>
      <c r="J76" s="437"/>
      <c r="K76" s="440"/>
      <c r="L76" s="441"/>
      <c r="M76" s="328">
        <v>4695.5542800000003</v>
      </c>
      <c r="N76" s="278"/>
      <c r="O76" s="304"/>
      <c r="P76" s="305"/>
      <c r="Q76" s="306"/>
    </row>
    <row r="77" spans="1:24" ht="40.5" customHeight="1" x14ac:dyDescent="0.25">
      <c r="A77" s="157" t="s">
        <v>278</v>
      </c>
      <c r="B77" s="158" t="s">
        <v>234</v>
      </c>
      <c r="C77" s="641" t="s">
        <v>151</v>
      </c>
      <c r="D77" s="442"/>
      <c r="E77" s="205">
        <v>253.8</v>
      </c>
      <c r="F77" s="443"/>
      <c r="G77" s="444"/>
      <c r="H77" s="565"/>
      <c r="I77" s="205">
        <v>253.8</v>
      </c>
      <c r="J77" s="443"/>
      <c r="K77" s="445"/>
      <c r="L77" s="442"/>
      <c r="M77" s="156">
        <v>250</v>
      </c>
      <c r="N77" s="446"/>
      <c r="O77" s="447"/>
      <c r="P77" s="448"/>
      <c r="Q77" s="306"/>
    </row>
    <row r="78" spans="1:24" ht="28.5" customHeight="1" x14ac:dyDescent="0.25">
      <c r="A78" s="157" t="s">
        <v>4</v>
      </c>
      <c r="B78" s="158" t="s">
        <v>25</v>
      </c>
      <c r="C78" s="641" t="s">
        <v>151</v>
      </c>
      <c r="D78" s="299">
        <v>300541.5</v>
      </c>
      <c r="E78" s="297">
        <v>432907.3</v>
      </c>
      <c r="F78" s="300"/>
      <c r="G78" s="301"/>
      <c r="H78" s="299">
        <v>300541.5</v>
      </c>
      <c r="I78" s="297">
        <v>432907.3</v>
      </c>
      <c r="J78" s="300"/>
      <c r="K78" s="302"/>
      <c r="L78" s="299">
        <v>93940.4</v>
      </c>
      <c r="M78" s="156">
        <f>239226+6531.15706</f>
        <v>245757.15706</v>
      </c>
      <c r="N78" s="278"/>
      <c r="O78" s="304"/>
      <c r="P78" s="305"/>
      <c r="Q78" s="750">
        <f>L78+M78-224737.7063-114959.85076</f>
        <v>0</v>
      </c>
    </row>
    <row r="79" spans="1:24" ht="67.5" customHeight="1" x14ac:dyDescent="0.25">
      <c r="A79" s="157" t="s">
        <v>71</v>
      </c>
      <c r="B79" s="158" t="s">
        <v>26</v>
      </c>
      <c r="C79" s="641" t="s">
        <v>151</v>
      </c>
      <c r="D79" s="299"/>
      <c r="E79" s="297">
        <v>195</v>
      </c>
      <c r="F79" s="205"/>
      <c r="G79" s="398"/>
      <c r="H79" s="311"/>
      <c r="I79" s="295">
        <v>195</v>
      </c>
      <c r="J79" s="205"/>
      <c r="K79" s="399"/>
      <c r="L79" s="299"/>
      <c r="M79" s="156">
        <v>111.48134</v>
      </c>
      <c r="N79" s="449"/>
      <c r="O79" s="401"/>
      <c r="P79" s="403"/>
      <c r="Q79" s="306"/>
    </row>
    <row r="80" spans="1:24" ht="51" x14ac:dyDescent="0.25">
      <c r="A80" s="157" t="s">
        <v>72</v>
      </c>
      <c r="B80" s="158" t="s">
        <v>235</v>
      </c>
      <c r="C80" s="641" t="s">
        <v>151</v>
      </c>
      <c r="D80" s="299"/>
      <c r="E80" s="297">
        <v>221438</v>
      </c>
      <c r="F80" s="205"/>
      <c r="G80" s="398"/>
      <c r="H80" s="311"/>
      <c r="I80" s="297">
        <v>221438</v>
      </c>
      <c r="J80" s="205"/>
      <c r="K80" s="399"/>
      <c r="L80" s="299"/>
      <c r="M80" s="156">
        <v>118172.76579</v>
      </c>
      <c r="N80" s="449"/>
      <c r="O80" s="401"/>
      <c r="P80" s="403"/>
      <c r="Q80" s="306"/>
    </row>
    <row r="81" spans="1:20" ht="76.5" customHeight="1" x14ac:dyDescent="0.25">
      <c r="A81" s="157" t="s">
        <v>73</v>
      </c>
      <c r="B81" s="158" t="s">
        <v>236</v>
      </c>
      <c r="C81" s="641" t="s">
        <v>151</v>
      </c>
      <c r="D81" s="299"/>
      <c r="E81" s="297">
        <v>2200</v>
      </c>
      <c r="F81" s="205"/>
      <c r="G81" s="398"/>
      <c r="H81" s="311"/>
      <c r="I81" s="297">
        <v>2200</v>
      </c>
      <c r="J81" s="205"/>
      <c r="K81" s="399"/>
      <c r="L81" s="299"/>
      <c r="M81" s="156">
        <v>1194.4532300000001</v>
      </c>
      <c r="N81" s="449"/>
      <c r="O81" s="401"/>
      <c r="P81" s="403"/>
      <c r="Q81" s="306"/>
    </row>
    <row r="82" spans="1:20" ht="66.75" customHeight="1" x14ac:dyDescent="0.25">
      <c r="A82" s="157" t="s">
        <v>74</v>
      </c>
      <c r="B82" s="158" t="s">
        <v>27</v>
      </c>
      <c r="C82" s="641" t="s">
        <v>151</v>
      </c>
      <c r="D82" s="299"/>
      <c r="E82" s="297">
        <v>3860</v>
      </c>
      <c r="F82" s="205"/>
      <c r="G82" s="398"/>
      <c r="H82" s="566"/>
      <c r="I82" s="295">
        <v>3860</v>
      </c>
      <c r="J82" s="369"/>
      <c r="K82" s="450"/>
      <c r="L82" s="400"/>
      <c r="M82" s="156">
        <v>3268.3746500000002</v>
      </c>
      <c r="N82" s="449"/>
      <c r="O82" s="401"/>
      <c r="P82" s="348"/>
      <c r="Q82" s="329"/>
      <c r="R82" s="329"/>
    </row>
    <row r="83" spans="1:20" ht="95.25" customHeight="1" x14ac:dyDescent="0.25">
      <c r="A83" s="157" t="s">
        <v>75</v>
      </c>
      <c r="B83" s="158" t="s">
        <v>237</v>
      </c>
      <c r="C83" s="648" t="s">
        <v>151</v>
      </c>
      <c r="D83" s="307">
        <v>6405.4</v>
      </c>
      <c r="E83" s="297"/>
      <c r="F83" s="205"/>
      <c r="G83" s="398"/>
      <c r="H83" s="297">
        <v>6405.4</v>
      </c>
      <c r="I83" s="295"/>
      <c r="J83" s="205"/>
      <c r="K83" s="399"/>
      <c r="L83" s="299">
        <v>3607.2605699999999</v>
      </c>
      <c r="M83" s="156"/>
      <c r="N83" s="449"/>
      <c r="O83" s="401"/>
      <c r="P83" s="403"/>
      <c r="Q83" s="306"/>
    </row>
    <row r="84" spans="1:20" ht="87" customHeight="1" x14ac:dyDescent="0.25">
      <c r="A84" s="157" t="s">
        <v>76</v>
      </c>
      <c r="B84" s="158" t="s">
        <v>238</v>
      </c>
      <c r="C84" s="641" t="s">
        <v>151</v>
      </c>
      <c r="D84" s="299">
        <v>441655.6</v>
      </c>
      <c r="E84" s="297"/>
      <c r="F84" s="205"/>
      <c r="G84" s="398"/>
      <c r="H84" s="299">
        <v>441655.6</v>
      </c>
      <c r="I84" s="295"/>
      <c r="J84" s="205"/>
      <c r="K84" s="399"/>
      <c r="L84" s="299">
        <v>221234.76464000001</v>
      </c>
      <c r="M84" s="156"/>
      <c r="N84" s="449"/>
      <c r="O84" s="401"/>
      <c r="P84" s="403"/>
      <c r="Q84" s="306"/>
    </row>
    <row r="85" spans="1:20" ht="80.25" customHeight="1" x14ac:dyDescent="0.25">
      <c r="A85" s="157" t="s">
        <v>77</v>
      </c>
      <c r="B85" s="158" t="s">
        <v>239</v>
      </c>
      <c r="C85" s="641" t="s">
        <v>151</v>
      </c>
      <c r="D85" s="299">
        <v>3</v>
      </c>
      <c r="E85" s="297"/>
      <c r="F85" s="205"/>
      <c r="G85" s="398"/>
      <c r="H85" s="566">
        <v>3</v>
      </c>
      <c r="I85" s="295"/>
      <c r="J85" s="205"/>
      <c r="K85" s="399"/>
      <c r="L85" s="299">
        <v>0</v>
      </c>
      <c r="M85" s="156"/>
      <c r="N85" s="449"/>
      <c r="O85" s="401"/>
      <c r="P85" s="451"/>
      <c r="Q85" s="306"/>
    </row>
    <row r="86" spans="1:20" ht="88.5" customHeight="1" x14ac:dyDescent="0.25">
      <c r="A86" s="157" t="s">
        <v>78</v>
      </c>
      <c r="B86" s="158" t="s">
        <v>240</v>
      </c>
      <c r="C86" s="641" t="s">
        <v>151</v>
      </c>
      <c r="D86" s="299">
        <v>0.7</v>
      </c>
      <c r="E86" s="297"/>
      <c r="F86" s="205"/>
      <c r="G86" s="398"/>
      <c r="H86" s="566">
        <v>0.7</v>
      </c>
      <c r="I86" s="295"/>
      <c r="J86" s="205"/>
      <c r="K86" s="399"/>
      <c r="L86" s="400">
        <v>0</v>
      </c>
      <c r="M86" s="298"/>
      <c r="N86" s="449"/>
      <c r="O86" s="401"/>
      <c r="P86" s="348"/>
      <c r="Q86" s="306"/>
    </row>
    <row r="87" spans="1:20" ht="84.75" customHeight="1" x14ac:dyDescent="0.25">
      <c r="A87" s="157" t="s">
        <v>79</v>
      </c>
      <c r="B87" s="158" t="s">
        <v>241</v>
      </c>
      <c r="C87" s="641" t="s">
        <v>151</v>
      </c>
      <c r="D87" s="299">
        <v>49496.3</v>
      </c>
      <c r="E87" s="297"/>
      <c r="F87" s="205"/>
      <c r="G87" s="398"/>
      <c r="H87" s="299">
        <v>49496.3</v>
      </c>
      <c r="I87" s="295"/>
      <c r="J87" s="205"/>
      <c r="K87" s="399"/>
      <c r="L87" s="400">
        <v>19314.764449999999</v>
      </c>
      <c r="M87" s="298"/>
      <c r="N87" s="449"/>
      <c r="O87" s="401"/>
      <c r="P87" s="348"/>
      <c r="Q87" s="306"/>
    </row>
    <row r="88" spans="1:20" ht="56.25" customHeight="1" x14ac:dyDescent="0.25">
      <c r="A88" s="157" t="s">
        <v>80</v>
      </c>
      <c r="B88" s="158" t="s">
        <v>242</v>
      </c>
      <c r="C88" s="641" t="s">
        <v>151</v>
      </c>
      <c r="D88" s="299">
        <v>9360.1</v>
      </c>
      <c r="E88" s="297"/>
      <c r="F88" s="205"/>
      <c r="G88" s="398"/>
      <c r="H88" s="299">
        <v>9360.1</v>
      </c>
      <c r="I88" s="295"/>
      <c r="J88" s="205"/>
      <c r="K88" s="399"/>
      <c r="L88" s="400">
        <v>4100.8468300000004</v>
      </c>
      <c r="M88" s="298"/>
      <c r="N88" s="449"/>
      <c r="O88" s="401"/>
      <c r="P88" s="348"/>
      <c r="Q88" s="306"/>
    </row>
    <row r="89" spans="1:20" ht="79.5" customHeight="1" x14ac:dyDescent="0.25">
      <c r="A89" s="157" t="s">
        <v>81</v>
      </c>
      <c r="B89" s="158" t="s">
        <v>243</v>
      </c>
      <c r="C89" s="641" t="s">
        <v>151</v>
      </c>
      <c r="D89" s="299">
        <v>107.5</v>
      </c>
      <c r="E89" s="297"/>
      <c r="F89" s="205"/>
      <c r="G89" s="398"/>
      <c r="H89" s="566">
        <v>107.5</v>
      </c>
      <c r="I89" s="295"/>
      <c r="J89" s="205"/>
      <c r="K89" s="399"/>
      <c r="L89" s="299">
        <v>0</v>
      </c>
      <c r="M89" s="298"/>
      <c r="N89" s="449"/>
      <c r="O89" s="401"/>
      <c r="P89" s="348"/>
      <c r="Q89" s="306"/>
    </row>
    <row r="90" spans="1:20" s="460" customFormat="1" ht="178.5" customHeight="1" x14ac:dyDescent="0.25">
      <c r="A90" s="158" t="s">
        <v>82</v>
      </c>
      <c r="B90" s="161" t="s">
        <v>22</v>
      </c>
      <c r="C90" s="641" t="s">
        <v>151</v>
      </c>
      <c r="D90" s="452"/>
      <c r="E90" s="330">
        <v>13500</v>
      </c>
      <c r="F90" s="330"/>
      <c r="G90" s="453"/>
      <c r="H90" s="567"/>
      <c r="I90" s="331">
        <v>13500</v>
      </c>
      <c r="J90" s="330"/>
      <c r="K90" s="454"/>
      <c r="L90" s="455"/>
      <c r="M90" s="330">
        <v>8116.0209999999997</v>
      </c>
      <c r="N90" s="247"/>
      <c r="O90" s="456"/>
      <c r="P90" s="457"/>
      <c r="Q90" s="458"/>
      <c r="R90" s="459"/>
      <c r="S90" s="459"/>
    </row>
    <row r="91" spans="1:20" ht="70.5" customHeight="1" x14ac:dyDescent="0.25">
      <c r="A91" s="157" t="s">
        <v>83</v>
      </c>
      <c r="B91" s="161" t="s">
        <v>229</v>
      </c>
      <c r="C91" s="641" t="s">
        <v>151</v>
      </c>
      <c r="D91" s="299"/>
      <c r="E91" s="297">
        <v>540000</v>
      </c>
      <c r="F91" s="205"/>
      <c r="G91" s="398"/>
      <c r="H91" s="311"/>
      <c r="I91" s="297">
        <v>540000</v>
      </c>
      <c r="J91" s="205"/>
      <c r="K91" s="399"/>
      <c r="L91" s="299"/>
      <c r="M91" s="156">
        <v>344002.97266999999</v>
      </c>
      <c r="N91" s="449"/>
      <c r="O91" s="401"/>
      <c r="P91" s="451"/>
      <c r="Q91" s="306"/>
    </row>
    <row r="92" spans="1:20" ht="41.25" customHeight="1" thickBot="1" x14ac:dyDescent="0.3">
      <c r="A92" s="157" t="s">
        <v>84</v>
      </c>
      <c r="B92" s="158" t="s">
        <v>230</v>
      </c>
      <c r="C92" s="641" t="s">
        <v>151</v>
      </c>
      <c r="D92" s="299"/>
      <c r="E92" s="297">
        <v>16200</v>
      </c>
      <c r="F92" s="205"/>
      <c r="G92" s="398"/>
      <c r="H92" s="311"/>
      <c r="I92" s="295">
        <v>16200</v>
      </c>
      <c r="J92" s="205"/>
      <c r="K92" s="399"/>
      <c r="L92" s="400"/>
      <c r="M92" s="298">
        <v>8645.33</v>
      </c>
      <c r="N92" s="449"/>
      <c r="O92" s="401"/>
      <c r="P92" s="348"/>
      <c r="Q92" s="306"/>
    </row>
    <row r="93" spans="1:20" s="425" customFormat="1" ht="16.5" thickBot="1" x14ac:dyDescent="0.3">
      <c r="A93" s="461"/>
      <c r="B93" s="332" t="s">
        <v>165</v>
      </c>
      <c r="C93" s="553"/>
      <c r="D93" s="333">
        <f>D67</f>
        <v>807570.1</v>
      </c>
      <c r="E93" s="333">
        <f>E67</f>
        <v>1633242.1</v>
      </c>
      <c r="F93" s="462"/>
      <c r="G93" s="463"/>
      <c r="H93" s="568">
        <f>H67</f>
        <v>807570.1</v>
      </c>
      <c r="I93" s="333">
        <f>I67</f>
        <v>1633242.1</v>
      </c>
      <c r="J93" s="462"/>
      <c r="K93" s="464"/>
      <c r="L93" s="333">
        <f>L67</f>
        <v>342198.03649000003</v>
      </c>
      <c r="M93" s="333">
        <f>M67</f>
        <v>1009308.4061500001</v>
      </c>
      <c r="N93" s="465"/>
      <c r="O93" s="466"/>
      <c r="P93" s="467"/>
      <c r="Q93" s="420"/>
      <c r="R93" s="421"/>
      <c r="S93" s="422"/>
      <c r="T93" s="423"/>
    </row>
    <row r="94" spans="1:20" ht="22.5" customHeight="1" thickBot="1" x14ac:dyDescent="0.3">
      <c r="A94" s="905" t="s">
        <v>171</v>
      </c>
      <c r="B94" s="906"/>
      <c r="C94" s="906"/>
      <c r="D94" s="906"/>
      <c r="E94" s="906"/>
      <c r="F94" s="906"/>
      <c r="G94" s="906"/>
      <c r="H94" s="906"/>
      <c r="I94" s="906"/>
      <c r="J94" s="906"/>
      <c r="K94" s="906"/>
      <c r="L94" s="906"/>
      <c r="M94" s="906"/>
      <c r="N94" s="906"/>
      <c r="O94" s="906"/>
      <c r="P94" s="907"/>
      <c r="Q94" s="468"/>
      <c r="R94" s="248"/>
    </row>
    <row r="95" spans="1:20" ht="94.5" customHeight="1" thickBot="1" x14ac:dyDescent="0.3">
      <c r="A95" s="469" t="s">
        <v>70</v>
      </c>
      <c r="B95" s="255" t="s">
        <v>391</v>
      </c>
      <c r="C95" s="560" t="s">
        <v>329</v>
      </c>
      <c r="D95" s="651">
        <f>D96+D109+D111+D119</f>
        <v>2000</v>
      </c>
      <c r="E95" s="652">
        <f>E96+E109+E111+E119</f>
        <v>10463.700000000001</v>
      </c>
      <c r="F95" s="653"/>
      <c r="G95" s="654"/>
      <c r="H95" s="652">
        <f>H96+H109+H111+H119</f>
        <v>2000</v>
      </c>
      <c r="I95" s="652">
        <f>I96+I109+I111+I119</f>
        <v>10463.700000000001</v>
      </c>
      <c r="J95" s="653"/>
      <c r="K95" s="264"/>
      <c r="L95" s="651">
        <f>L96+L109+L111+L119</f>
        <v>0</v>
      </c>
      <c r="M95" s="652">
        <f>M96+M109+M111+M119</f>
        <v>1377.9771799999999</v>
      </c>
      <c r="N95" s="470"/>
      <c r="O95" s="584"/>
      <c r="P95" s="469"/>
      <c r="Q95" s="289"/>
    </row>
    <row r="96" spans="1:20" ht="43.5" customHeight="1" x14ac:dyDescent="0.25">
      <c r="A96" s="265" t="s">
        <v>187</v>
      </c>
      <c r="B96" s="266" t="s">
        <v>246</v>
      </c>
      <c r="C96" s="560" t="s">
        <v>329</v>
      </c>
      <c r="D96" s="586">
        <f>D97+D98</f>
        <v>2000</v>
      </c>
      <c r="E96" s="334">
        <f>E97+E98</f>
        <v>5500</v>
      </c>
      <c r="F96" s="471"/>
      <c r="G96" s="472"/>
      <c r="H96" s="586">
        <f>H97+H98</f>
        <v>2000</v>
      </c>
      <c r="I96" s="334">
        <f>I97+I98</f>
        <v>5500</v>
      </c>
      <c r="J96" s="473"/>
      <c r="K96" s="607"/>
      <c r="L96" s="586">
        <f>L97+L98</f>
        <v>0</v>
      </c>
      <c r="M96" s="334">
        <f>M97+M98</f>
        <v>194.58918</v>
      </c>
      <c r="N96" s="471"/>
      <c r="O96" s="472"/>
      <c r="P96" s="474"/>
      <c r="Q96" s="306"/>
    </row>
    <row r="97" spans="1:19" ht="114.75" customHeight="1" x14ac:dyDescent="0.25">
      <c r="A97" s="908" t="s">
        <v>110</v>
      </c>
      <c r="B97" s="910" t="s">
        <v>127</v>
      </c>
      <c r="C97" s="641" t="s">
        <v>320</v>
      </c>
      <c r="D97" s="655">
        <v>1000</v>
      </c>
      <c r="E97" s="295">
        <v>3000</v>
      </c>
      <c r="F97" s="368"/>
      <c r="G97" s="411"/>
      <c r="H97" s="569">
        <v>1000</v>
      </c>
      <c r="I97" s="295">
        <v>3000</v>
      </c>
      <c r="J97" s="473"/>
      <c r="K97" s="607"/>
      <c r="L97" s="585">
        <v>0</v>
      </c>
      <c r="M97" s="295">
        <v>0</v>
      </c>
      <c r="N97" s="471"/>
      <c r="O97" s="472"/>
      <c r="P97" s="474"/>
      <c r="Q97" s="306"/>
    </row>
    <row r="98" spans="1:19" ht="90.75" customHeight="1" x14ac:dyDescent="0.25">
      <c r="A98" s="909"/>
      <c r="B98" s="911"/>
      <c r="C98" s="912" t="s">
        <v>151</v>
      </c>
      <c r="D98" s="772">
        <v>1000</v>
      </c>
      <c r="E98" s="297">
        <v>2500</v>
      </c>
      <c r="F98" s="205"/>
      <c r="G98" s="398"/>
      <c r="H98" s="773">
        <v>1000</v>
      </c>
      <c r="I98" s="297">
        <v>2500</v>
      </c>
      <c r="J98" s="774"/>
      <c r="K98" s="607"/>
      <c r="L98" s="772"/>
      <c r="M98" s="297">
        <f>194.58918</f>
        <v>194.58918</v>
      </c>
      <c r="N98" s="775"/>
      <c r="O98" s="776"/>
      <c r="P98" s="777"/>
      <c r="Q98" s="306"/>
    </row>
    <row r="99" spans="1:19" ht="63.75" hidden="1" customHeight="1" x14ac:dyDescent="0.25">
      <c r="A99" s="268" t="s">
        <v>33</v>
      </c>
      <c r="B99" s="247" t="s">
        <v>248</v>
      </c>
      <c r="C99" s="912"/>
      <c r="D99" s="299"/>
      <c r="E99" s="297"/>
      <c r="F99" s="205"/>
      <c r="G99" s="398"/>
      <c r="H99" s="311"/>
      <c r="I99" s="297"/>
      <c r="J99" s="449"/>
      <c r="K99" s="475"/>
      <c r="L99" s="299"/>
      <c r="M99" s="298"/>
      <c r="N99" s="205"/>
      <c r="O99" s="398"/>
      <c r="P99" s="403"/>
      <c r="Q99" s="306"/>
    </row>
    <row r="100" spans="1:19" ht="63.75" hidden="1" customHeight="1" x14ac:dyDescent="0.25">
      <c r="A100" s="208" t="s">
        <v>34</v>
      </c>
      <c r="B100" s="247" t="s">
        <v>249</v>
      </c>
      <c r="C100" s="912"/>
      <c r="D100" s="299"/>
      <c r="E100" s="297"/>
      <c r="F100" s="300"/>
      <c r="G100" s="301"/>
      <c r="H100" s="311"/>
      <c r="I100" s="297"/>
      <c r="J100" s="278"/>
      <c r="K100" s="476"/>
      <c r="L100" s="436"/>
      <c r="M100" s="298"/>
      <c r="N100" s="300"/>
      <c r="O100" s="301"/>
      <c r="P100" s="305"/>
      <c r="Q100" s="306"/>
    </row>
    <row r="101" spans="1:19" ht="76.5" hidden="1" customHeight="1" x14ac:dyDescent="0.25">
      <c r="A101" s="208" t="s">
        <v>35</v>
      </c>
      <c r="B101" s="247" t="s">
        <v>250</v>
      </c>
      <c r="C101" s="912"/>
      <c r="D101" s="299"/>
      <c r="E101" s="297"/>
      <c r="F101" s="300"/>
      <c r="G101" s="301"/>
      <c r="H101" s="311"/>
      <c r="I101" s="297"/>
      <c r="J101" s="278"/>
      <c r="K101" s="476"/>
      <c r="L101" s="436"/>
      <c r="M101" s="298"/>
      <c r="N101" s="300"/>
      <c r="O101" s="301"/>
      <c r="P101" s="305"/>
      <c r="Q101" s="306"/>
    </row>
    <row r="102" spans="1:19" ht="0.75" hidden="1" customHeight="1" x14ac:dyDescent="0.25">
      <c r="A102" s="208" t="s">
        <v>36</v>
      </c>
      <c r="B102" s="247" t="s">
        <v>251</v>
      </c>
      <c r="C102" s="912"/>
      <c r="D102" s="299"/>
      <c r="E102" s="297"/>
      <c r="F102" s="300"/>
      <c r="G102" s="301"/>
      <c r="H102" s="311"/>
      <c r="I102" s="297"/>
      <c r="J102" s="278"/>
      <c r="K102" s="476"/>
      <c r="L102" s="436"/>
      <c r="M102" s="298"/>
      <c r="N102" s="300"/>
      <c r="O102" s="301"/>
      <c r="P102" s="305"/>
      <c r="Q102" s="306"/>
    </row>
    <row r="103" spans="1:19" ht="76.5" hidden="1" customHeight="1" x14ac:dyDescent="0.25">
      <c r="A103" s="208" t="s">
        <v>37</v>
      </c>
      <c r="B103" s="247" t="s">
        <v>30</v>
      </c>
      <c r="C103" s="912"/>
      <c r="D103" s="299"/>
      <c r="E103" s="297"/>
      <c r="F103" s="300"/>
      <c r="G103" s="301"/>
      <c r="H103" s="311"/>
      <c r="I103" s="297"/>
      <c r="J103" s="278"/>
      <c r="K103" s="476"/>
      <c r="L103" s="436"/>
      <c r="M103" s="298"/>
      <c r="N103" s="300"/>
      <c r="O103" s="301"/>
      <c r="P103" s="305"/>
      <c r="Q103" s="306"/>
    </row>
    <row r="104" spans="1:19" ht="63.75" hidden="1" customHeight="1" x14ac:dyDescent="0.25">
      <c r="A104" s="477" t="s">
        <v>38</v>
      </c>
      <c r="B104" s="640" t="s">
        <v>252</v>
      </c>
      <c r="C104" s="561"/>
      <c r="D104" s="431"/>
      <c r="E104" s="295">
        <v>0</v>
      </c>
      <c r="F104" s="432"/>
      <c r="G104" s="433"/>
      <c r="H104" s="310"/>
      <c r="I104" s="295">
        <v>0</v>
      </c>
      <c r="J104" s="353"/>
      <c r="K104" s="355"/>
      <c r="L104" s="435"/>
      <c r="M104" s="296">
        <v>0</v>
      </c>
      <c r="N104" s="432"/>
      <c r="O104" s="433"/>
      <c r="P104" s="356"/>
      <c r="Q104" s="306"/>
    </row>
    <row r="105" spans="1:19" ht="51" hidden="1" customHeight="1" x14ac:dyDescent="0.25">
      <c r="A105" s="478" t="s">
        <v>188</v>
      </c>
      <c r="B105" s="270" t="s">
        <v>253</v>
      </c>
      <c r="C105" s="561"/>
      <c r="D105" s="442"/>
      <c r="E105" s="335">
        <f>E106</f>
        <v>0</v>
      </c>
      <c r="F105" s="443"/>
      <c r="G105" s="444"/>
      <c r="H105" s="565"/>
      <c r="I105" s="335">
        <f>I106</f>
        <v>0</v>
      </c>
      <c r="J105" s="446"/>
      <c r="K105" s="479"/>
      <c r="L105" s="480"/>
      <c r="M105" s="335">
        <f>M106</f>
        <v>0</v>
      </c>
      <c r="N105" s="443"/>
      <c r="O105" s="444"/>
      <c r="P105" s="448"/>
      <c r="Q105" s="306"/>
    </row>
    <row r="106" spans="1:19" ht="63.75" hidden="1" customHeight="1" x14ac:dyDescent="0.25">
      <c r="A106" s="478" t="s">
        <v>129</v>
      </c>
      <c r="B106" s="270" t="s">
        <v>254</v>
      </c>
      <c r="C106" s="561"/>
      <c r="D106" s="442"/>
      <c r="E106" s="335">
        <f>E107+E108</f>
        <v>0</v>
      </c>
      <c r="F106" s="443"/>
      <c r="G106" s="444"/>
      <c r="H106" s="565"/>
      <c r="I106" s="335">
        <f>I107+I108</f>
        <v>0</v>
      </c>
      <c r="J106" s="446"/>
      <c r="K106" s="479"/>
      <c r="L106" s="480"/>
      <c r="M106" s="335">
        <f>M107+M108</f>
        <v>0</v>
      </c>
      <c r="N106" s="443"/>
      <c r="O106" s="444"/>
      <c r="P106" s="448"/>
      <c r="Q106" s="306"/>
    </row>
    <row r="107" spans="1:19" ht="76.5" hidden="1" customHeight="1" x14ac:dyDescent="0.25">
      <c r="A107" s="208" t="s">
        <v>125</v>
      </c>
      <c r="B107" s="247" t="s">
        <v>249</v>
      </c>
      <c r="C107" s="561"/>
      <c r="D107" s="299"/>
      <c r="E107" s="297"/>
      <c r="F107" s="300"/>
      <c r="G107" s="301"/>
      <c r="H107" s="311"/>
      <c r="I107" s="297"/>
      <c r="J107" s="278"/>
      <c r="K107" s="476"/>
      <c r="L107" s="436"/>
      <c r="M107" s="298"/>
      <c r="N107" s="300"/>
      <c r="O107" s="301"/>
      <c r="P107" s="305"/>
      <c r="Q107" s="306"/>
    </row>
    <row r="108" spans="1:19" ht="167.25" hidden="1" customHeight="1" x14ac:dyDescent="0.25">
      <c r="A108" s="208" t="s">
        <v>126</v>
      </c>
      <c r="B108" s="247" t="s">
        <v>255</v>
      </c>
      <c r="C108" s="561"/>
      <c r="D108" s="299"/>
      <c r="E108" s="297"/>
      <c r="F108" s="300"/>
      <c r="G108" s="301"/>
      <c r="H108" s="311"/>
      <c r="I108" s="297"/>
      <c r="J108" s="278"/>
      <c r="K108" s="476"/>
      <c r="L108" s="436"/>
      <c r="M108" s="298"/>
      <c r="N108" s="300"/>
      <c r="O108" s="301"/>
      <c r="P108" s="305"/>
      <c r="Q108" s="306"/>
    </row>
    <row r="109" spans="1:19" ht="66" customHeight="1" x14ac:dyDescent="0.25">
      <c r="A109" s="481" t="s">
        <v>188</v>
      </c>
      <c r="B109" s="277" t="s">
        <v>253</v>
      </c>
      <c r="C109" s="554" t="s">
        <v>151</v>
      </c>
      <c r="D109" s="299">
        <f>D110</f>
        <v>0</v>
      </c>
      <c r="E109" s="311">
        <f>E110</f>
        <v>800</v>
      </c>
      <c r="F109" s="300"/>
      <c r="G109" s="301"/>
      <c r="H109" s="299">
        <f>H110</f>
        <v>0</v>
      </c>
      <c r="I109" s="311">
        <f>I110</f>
        <v>800</v>
      </c>
      <c r="J109" s="278"/>
      <c r="K109" s="476"/>
      <c r="L109" s="299">
        <f>L110</f>
        <v>0</v>
      </c>
      <c r="M109" s="311">
        <f>M110</f>
        <v>800</v>
      </c>
      <c r="N109" s="300"/>
      <c r="O109" s="301"/>
      <c r="P109" s="305"/>
      <c r="Q109" s="306"/>
      <c r="R109" s="162"/>
      <c r="S109" s="162"/>
    </row>
    <row r="110" spans="1:19" ht="55.5" customHeight="1" x14ac:dyDescent="0.25">
      <c r="A110" s="268" t="s">
        <v>129</v>
      </c>
      <c r="B110" s="161" t="s">
        <v>390</v>
      </c>
      <c r="C110" s="554" t="s">
        <v>151</v>
      </c>
      <c r="D110" s="299"/>
      <c r="E110" s="297">
        <v>800</v>
      </c>
      <c r="F110" s="300"/>
      <c r="G110" s="301"/>
      <c r="H110" s="311"/>
      <c r="I110" s="297">
        <v>800</v>
      </c>
      <c r="J110" s="278"/>
      <c r="K110" s="476"/>
      <c r="L110" s="436"/>
      <c r="M110" s="298">
        <v>800</v>
      </c>
      <c r="N110" s="300"/>
      <c r="O110" s="301"/>
      <c r="P110" s="305"/>
      <c r="Q110" s="306"/>
      <c r="R110" s="162"/>
      <c r="S110" s="162"/>
    </row>
    <row r="111" spans="1:19" ht="38.25" x14ac:dyDescent="0.25">
      <c r="A111" s="482" t="s">
        <v>189</v>
      </c>
      <c r="B111" s="270" t="s">
        <v>256</v>
      </c>
      <c r="C111" s="554" t="s">
        <v>151</v>
      </c>
      <c r="D111" s="586">
        <f>D112+D113</f>
        <v>0</v>
      </c>
      <c r="E111" s="335">
        <f>E112+E113</f>
        <v>863.7</v>
      </c>
      <c r="F111" s="443"/>
      <c r="G111" s="444"/>
      <c r="H111" s="570">
        <f>H112+H113</f>
        <v>0</v>
      </c>
      <c r="I111" s="335">
        <f>I112+I113</f>
        <v>863.7</v>
      </c>
      <c r="J111" s="483"/>
      <c r="K111" s="484"/>
      <c r="L111" s="586">
        <f>L112+L113</f>
        <v>0</v>
      </c>
      <c r="M111" s="335">
        <f>M112+M113</f>
        <v>383.38800000000003</v>
      </c>
      <c r="N111" s="443"/>
      <c r="O111" s="444"/>
      <c r="P111" s="448"/>
      <c r="Q111" s="306"/>
      <c r="R111" s="162"/>
      <c r="S111" s="162"/>
    </row>
    <row r="112" spans="1:19" ht="78" customHeight="1" x14ac:dyDescent="0.25">
      <c r="A112" s="271" t="s">
        <v>244</v>
      </c>
      <c r="B112" s="247" t="s">
        <v>257</v>
      </c>
      <c r="C112" s="554" t="s">
        <v>151</v>
      </c>
      <c r="D112" s="299"/>
      <c r="E112" s="297">
        <v>203.7</v>
      </c>
      <c r="F112" s="300"/>
      <c r="G112" s="301"/>
      <c r="H112" s="311"/>
      <c r="I112" s="297">
        <v>203.7</v>
      </c>
      <c r="J112" s="485"/>
      <c r="K112" s="486"/>
      <c r="L112" s="436"/>
      <c r="M112" s="298"/>
      <c r="N112" s="300"/>
      <c r="O112" s="301"/>
      <c r="P112" s="305"/>
      <c r="Q112" s="306"/>
      <c r="R112" s="162"/>
      <c r="S112" s="162"/>
    </row>
    <row r="113" spans="1:19" ht="138" customHeight="1" x14ac:dyDescent="0.25">
      <c r="A113" s="268" t="s">
        <v>245</v>
      </c>
      <c r="B113" s="247" t="s">
        <v>258</v>
      </c>
      <c r="C113" s="648" t="s">
        <v>151</v>
      </c>
      <c r="D113" s="570">
        <f>D114+D115+D116+D117+D118</f>
        <v>0</v>
      </c>
      <c r="E113" s="335">
        <f>E114+E115+E116+E117+E118</f>
        <v>660</v>
      </c>
      <c r="F113" s="443"/>
      <c r="G113" s="444"/>
      <c r="H113" s="335">
        <f t="shared" ref="H113:I113" si="0">H114+H115+H116+H117+H118</f>
        <v>0</v>
      </c>
      <c r="I113" s="335">
        <f t="shared" si="0"/>
        <v>660</v>
      </c>
      <c r="J113" s="483"/>
      <c r="K113" s="810"/>
      <c r="L113" s="570">
        <f t="shared" ref="L113:M113" si="1">L114+L115+L116+L117+L118</f>
        <v>0</v>
      </c>
      <c r="M113" s="335">
        <f t="shared" si="1"/>
        <v>383.38800000000003</v>
      </c>
      <c r="N113" s="443"/>
      <c r="O113" s="444"/>
      <c r="P113" s="448"/>
      <c r="Q113" s="306"/>
      <c r="R113" s="162"/>
      <c r="S113" s="162"/>
    </row>
    <row r="114" spans="1:19" ht="129.75" customHeight="1" x14ac:dyDescent="0.25">
      <c r="A114" s="487" t="s">
        <v>130</v>
      </c>
      <c r="B114" s="247" t="s">
        <v>259</v>
      </c>
      <c r="C114" s="554" t="s">
        <v>151</v>
      </c>
      <c r="D114" s="299"/>
      <c r="E114" s="297">
        <v>70</v>
      </c>
      <c r="F114" s="300"/>
      <c r="G114" s="301"/>
      <c r="H114" s="311"/>
      <c r="I114" s="297">
        <v>70</v>
      </c>
      <c r="J114" s="488"/>
      <c r="K114" s="489"/>
      <c r="L114" s="490"/>
      <c r="M114" s="297">
        <v>70</v>
      </c>
      <c r="N114" s="300"/>
      <c r="O114" s="301"/>
      <c r="P114" s="305"/>
      <c r="Q114" s="306"/>
    </row>
    <row r="115" spans="1:19" ht="51" x14ac:dyDescent="0.25">
      <c r="A115" s="487" t="s">
        <v>131</v>
      </c>
      <c r="B115" s="247" t="s">
        <v>260</v>
      </c>
      <c r="C115" s="554" t="s">
        <v>151</v>
      </c>
      <c r="D115" s="299"/>
      <c r="E115" s="297">
        <v>60</v>
      </c>
      <c r="F115" s="300"/>
      <c r="G115" s="301"/>
      <c r="H115" s="311"/>
      <c r="I115" s="297">
        <v>60</v>
      </c>
      <c r="J115" s="488"/>
      <c r="K115" s="489"/>
      <c r="L115" s="490"/>
      <c r="M115" s="297"/>
      <c r="N115" s="300"/>
      <c r="O115" s="301"/>
      <c r="P115" s="305"/>
      <c r="Q115" s="491"/>
    </row>
    <row r="116" spans="1:19" ht="51" x14ac:dyDescent="0.25">
      <c r="A116" s="487" t="s">
        <v>132</v>
      </c>
      <c r="B116" s="247" t="s">
        <v>261</v>
      </c>
      <c r="C116" s="554" t="s">
        <v>151</v>
      </c>
      <c r="D116" s="299"/>
      <c r="E116" s="297">
        <v>240</v>
      </c>
      <c r="F116" s="300"/>
      <c r="G116" s="301"/>
      <c r="H116" s="311"/>
      <c r="I116" s="297">
        <v>240</v>
      </c>
      <c r="J116" s="488"/>
      <c r="K116" s="489"/>
      <c r="L116" s="490"/>
      <c r="M116" s="297">
        <f>54.2+39.2</f>
        <v>93.4</v>
      </c>
      <c r="N116" s="300"/>
      <c r="O116" s="301"/>
      <c r="P116" s="305"/>
      <c r="Q116" s="306"/>
    </row>
    <row r="117" spans="1:19" ht="42.75" customHeight="1" x14ac:dyDescent="0.25">
      <c r="A117" s="487" t="s">
        <v>133</v>
      </c>
      <c r="B117" s="247" t="s">
        <v>262</v>
      </c>
      <c r="C117" s="554" t="s">
        <v>151</v>
      </c>
      <c r="D117" s="299"/>
      <c r="E117" s="297">
        <v>140</v>
      </c>
      <c r="F117" s="300"/>
      <c r="G117" s="301"/>
      <c r="H117" s="311"/>
      <c r="I117" s="297">
        <v>140</v>
      </c>
      <c r="J117" s="488"/>
      <c r="K117" s="489"/>
      <c r="L117" s="490"/>
      <c r="M117" s="297">
        <v>69.988</v>
      </c>
      <c r="N117" s="300"/>
      <c r="O117" s="301"/>
      <c r="P117" s="305"/>
      <c r="Q117" s="306"/>
    </row>
    <row r="118" spans="1:19" ht="41.25" customHeight="1" x14ac:dyDescent="0.25">
      <c r="A118" s="487" t="s">
        <v>367</v>
      </c>
      <c r="B118" s="247" t="s">
        <v>385</v>
      </c>
      <c r="C118" s="554" t="s">
        <v>151</v>
      </c>
      <c r="D118" s="299"/>
      <c r="E118" s="307">
        <v>150</v>
      </c>
      <c r="F118" s="300"/>
      <c r="G118" s="301"/>
      <c r="H118" s="311"/>
      <c r="I118" s="307">
        <v>150</v>
      </c>
      <c r="J118" s="488"/>
      <c r="K118" s="489"/>
      <c r="L118" s="490"/>
      <c r="M118" s="307">
        <f>86+64</f>
        <v>150</v>
      </c>
      <c r="N118" s="300"/>
      <c r="O118" s="301"/>
      <c r="P118" s="305"/>
      <c r="Q118" s="306"/>
    </row>
    <row r="119" spans="1:19" x14ac:dyDescent="0.25">
      <c r="A119" s="478" t="s">
        <v>190</v>
      </c>
      <c r="B119" s="270" t="s">
        <v>172</v>
      </c>
      <c r="C119" s="554" t="s">
        <v>151</v>
      </c>
      <c r="D119" s="587">
        <f>D120</f>
        <v>0</v>
      </c>
      <c r="E119" s="811">
        <f>E120</f>
        <v>3300</v>
      </c>
      <c r="F119" s="443"/>
      <c r="G119" s="444"/>
      <c r="H119" s="587">
        <f>H120</f>
        <v>0</v>
      </c>
      <c r="I119" s="811">
        <f>I120</f>
        <v>3300</v>
      </c>
      <c r="J119" s="483"/>
      <c r="K119" s="484"/>
      <c r="L119" s="587">
        <f>L120</f>
        <v>0</v>
      </c>
      <c r="M119" s="811">
        <f>M120</f>
        <v>0</v>
      </c>
      <c r="N119" s="443"/>
      <c r="O119" s="444"/>
      <c r="P119" s="448"/>
      <c r="Q119" s="306"/>
    </row>
    <row r="120" spans="1:19" ht="25.5" x14ac:dyDescent="0.25">
      <c r="A120" s="208" t="s">
        <v>134</v>
      </c>
      <c r="B120" s="247" t="s">
        <v>263</v>
      </c>
      <c r="C120" s="554" t="s">
        <v>151</v>
      </c>
      <c r="D120" s="439"/>
      <c r="E120" s="297">
        <v>3300</v>
      </c>
      <c r="F120" s="300"/>
      <c r="G120" s="301"/>
      <c r="H120" s="311"/>
      <c r="I120" s="297">
        <v>3300</v>
      </c>
      <c r="J120" s="485"/>
      <c r="K120" s="486"/>
      <c r="L120" s="436"/>
      <c r="M120" s="156">
        <v>0</v>
      </c>
      <c r="N120" s="300"/>
      <c r="O120" s="301"/>
      <c r="P120" s="305"/>
      <c r="Q120" s="306"/>
    </row>
    <row r="121" spans="1:19" ht="76.5" x14ac:dyDescent="0.25">
      <c r="A121" s="269" t="s">
        <v>105</v>
      </c>
      <c r="B121" s="270" t="s">
        <v>122</v>
      </c>
      <c r="C121" s="554" t="s">
        <v>151</v>
      </c>
      <c r="D121" s="657">
        <f>D122</f>
        <v>1440.5</v>
      </c>
      <c r="E121" s="656">
        <f>E122</f>
        <v>588.4</v>
      </c>
      <c r="F121" s="367"/>
      <c r="G121" s="588"/>
      <c r="H121" s="658">
        <f>H122</f>
        <v>1440.5</v>
      </c>
      <c r="I121" s="656">
        <f>I122</f>
        <v>588.4</v>
      </c>
      <c r="J121" s="367"/>
      <c r="K121" s="608"/>
      <c r="L121" s="439">
        <f>L122</f>
        <v>0</v>
      </c>
      <c r="M121" s="367">
        <f>M122</f>
        <v>23.9</v>
      </c>
      <c r="N121" s="300"/>
      <c r="O121" s="301"/>
      <c r="P121" s="305"/>
      <c r="Q121" s="306"/>
    </row>
    <row r="122" spans="1:19" ht="127.5" customHeight="1" thickBot="1" x14ac:dyDescent="0.3">
      <c r="A122" s="492" t="s">
        <v>19</v>
      </c>
      <c r="B122" s="493" t="s">
        <v>279</v>
      </c>
      <c r="C122" s="813" t="s">
        <v>151</v>
      </c>
      <c r="D122" s="812">
        <v>1440.5</v>
      </c>
      <c r="E122" s="312">
        <v>588.4</v>
      </c>
      <c r="F122" s="494"/>
      <c r="G122" s="495"/>
      <c r="H122" s="312">
        <v>1440.5</v>
      </c>
      <c r="I122" s="312">
        <v>588.4</v>
      </c>
      <c r="J122" s="496"/>
      <c r="K122" s="497"/>
      <c r="L122" s="612"/>
      <c r="M122" s="315">
        <v>23.9</v>
      </c>
      <c r="N122" s="494"/>
      <c r="O122" s="495"/>
      <c r="P122" s="498"/>
      <c r="Q122" s="306"/>
    </row>
    <row r="123" spans="1:19" s="425" customFormat="1" ht="15" customHeight="1" thickBot="1" x14ac:dyDescent="0.3">
      <c r="A123" s="499"/>
      <c r="B123" s="320" t="s">
        <v>165</v>
      </c>
      <c r="C123" s="555"/>
      <c r="D123" s="589">
        <f>D95+D121</f>
        <v>3440.5</v>
      </c>
      <c r="E123" s="336">
        <f>E95+E121</f>
        <v>11052.1</v>
      </c>
      <c r="F123" s="500"/>
      <c r="G123" s="501"/>
      <c r="H123" s="571">
        <f>H95+H121</f>
        <v>3440.5</v>
      </c>
      <c r="I123" s="336">
        <f>I95+I121</f>
        <v>11052.1</v>
      </c>
      <c r="J123" s="502"/>
      <c r="K123" s="503"/>
      <c r="L123" s="571">
        <f>L95+L121</f>
        <v>0</v>
      </c>
      <c r="M123" s="336">
        <f>M95+M121</f>
        <v>1401.87718</v>
      </c>
      <c r="N123" s="416"/>
      <c r="O123" s="417"/>
      <c r="P123" s="419"/>
      <c r="Q123" s="491">
        <f>I123-I97</f>
        <v>8052.1</v>
      </c>
      <c r="R123" s="421"/>
      <c r="S123" s="422"/>
    </row>
    <row r="124" spans="1:19" s="425" customFormat="1" ht="15.75" hidden="1" thickBot="1" x14ac:dyDescent="0.3">
      <c r="A124" s="504"/>
      <c r="B124" s="324"/>
      <c r="C124" s="556"/>
      <c r="D124" s="590"/>
      <c r="E124" s="337"/>
      <c r="F124" s="505"/>
      <c r="G124" s="591"/>
      <c r="H124" s="337"/>
      <c r="I124" s="337"/>
      <c r="J124" s="506"/>
      <c r="K124" s="506"/>
      <c r="L124" s="590"/>
      <c r="M124" s="337"/>
      <c r="N124" s="427"/>
      <c r="O124" s="583"/>
      <c r="P124" s="419"/>
      <c r="Q124" s="507">
        <f>L123+M123</f>
        <v>1401.87718</v>
      </c>
      <c r="R124" s="422"/>
      <c r="S124" s="422"/>
    </row>
    <row r="125" spans="1:19" ht="15.75" customHeight="1" thickBot="1" x14ac:dyDescent="0.35">
      <c r="A125" s="902" t="s">
        <v>135</v>
      </c>
      <c r="B125" s="903"/>
      <c r="C125" s="903"/>
      <c r="D125" s="903"/>
      <c r="E125" s="903"/>
      <c r="F125" s="903"/>
      <c r="G125" s="903"/>
      <c r="H125" s="903"/>
      <c r="I125" s="903"/>
      <c r="J125" s="903"/>
      <c r="K125" s="903"/>
      <c r="L125" s="903"/>
      <c r="M125" s="903"/>
      <c r="N125" s="903"/>
      <c r="O125" s="903"/>
      <c r="P125" s="904"/>
      <c r="Q125" s="306"/>
    </row>
    <row r="126" spans="1:19" ht="63.75" customHeight="1" x14ac:dyDescent="0.25">
      <c r="A126" s="264" t="s">
        <v>70</v>
      </c>
      <c r="B126" s="255" t="s">
        <v>136</v>
      </c>
      <c r="C126" s="547" t="s">
        <v>290</v>
      </c>
      <c r="D126" s="508">
        <f>D127+D128+D129+D130+D131+D132</f>
        <v>200249.9</v>
      </c>
      <c r="E126" s="659">
        <f>E127+E128+E129+E130+E131+E132</f>
        <v>38984.35686</v>
      </c>
      <c r="F126" s="509"/>
      <c r="G126" s="592"/>
      <c r="H126" s="508">
        <f>H127+H128+H129+H130+H131+H132</f>
        <v>200249.9</v>
      </c>
      <c r="I126" s="572">
        <f>I127+I128+I129+I130+I131+I132</f>
        <v>38984.357000000004</v>
      </c>
      <c r="J126" s="509"/>
      <c r="K126" s="510"/>
      <c r="L126" s="508">
        <f>L127+L128+L129+L130+L131+L132</f>
        <v>85884.377999999997</v>
      </c>
      <c r="M126" s="572">
        <f>M127+M128+M129+M130+M131+M132</f>
        <v>10736.902</v>
      </c>
      <c r="N126" s="509"/>
      <c r="O126" s="511"/>
      <c r="P126" s="510"/>
      <c r="Q126" s="306"/>
    </row>
    <row r="127" spans="1:19" ht="51" x14ac:dyDescent="0.25">
      <c r="A127" s="275" t="s">
        <v>187</v>
      </c>
      <c r="B127" s="633" t="s">
        <v>174</v>
      </c>
      <c r="C127" s="638" t="s">
        <v>123</v>
      </c>
      <c r="D127" s="339"/>
      <c r="E127" s="338">
        <v>34510.556859999997</v>
      </c>
      <c r="F127" s="512"/>
      <c r="G127" s="513"/>
      <c r="H127" s="759"/>
      <c r="I127" s="755">
        <v>34510.557000000001</v>
      </c>
      <c r="J127" s="512"/>
      <c r="K127" s="760"/>
      <c r="L127" s="339"/>
      <c r="M127" s="756">
        <v>10030.111000000001</v>
      </c>
      <c r="N127" s="353"/>
      <c r="O127" s="354"/>
      <c r="P127" s="413"/>
      <c r="Q127" s="507">
        <f>E127-I127</f>
        <v>-1.4000000373926014E-4</v>
      </c>
    </row>
    <row r="128" spans="1:19" ht="68.25" customHeight="1" thickBot="1" x14ac:dyDescent="0.4">
      <c r="A128" s="514" t="s">
        <v>188</v>
      </c>
      <c r="B128" s="161" t="s">
        <v>47</v>
      </c>
      <c r="C128" s="638" t="s">
        <v>123</v>
      </c>
      <c r="D128" s="343"/>
      <c r="E128" s="340">
        <v>3531.3</v>
      </c>
      <c r="F128" s="345"/>
      <c r="G128" s="346"/>
      <c r="H128" s="761"/>
      <c r="I128" s="340">
        <v>3531.3</v>
      </c>
      <c r="J128" s="345"/>
      <c r="K128" s="762"/>
      <c r="L128" s="763"/>
      <c r="M128" s="757">
        <v>320.71100000000001</v>
      </c>
      <c r="N128" s="278"/>
      <c r="O128" s="304"/>
      <c r="P128" s="305"/>
      <c r="Q128" s="306"/>
      <c r="R128" s="515"/>
    </row>
    <row r="129" spans="1:20" ht="28.5" customHeight="1" x14ac:dyDescent="0.25">
      <c r="A129" s="516" t="s">
        <v>189</v>
      </c>
      <c r="B129" s="161" t="s">
        <v>45</v>
      </c>
      <c r="C129" s="547" t="s">
        <v>290</v>
      </c>
      <c r="D129" s="343"/>
      <c r="E129" s="340">
        <v>692.5</v>
      </c>
      <c r="F129" s="345"/>
      <c r="G129" s="346"/>
      <c r="H129" s="761"/>
      <c r="I129" s="338">
        <v>692.5</v>
      </c>
      <c r="J129" s="345"/>
      <c r="K129" s="762"/>
      <c r="L129" s="763"/>
      <c r="M129" s="757">
        <v>358.68</v>
      </c>
      <c r="N129" s="278"/>
      <c r="O129" s="304"/>
      <c r="P129" s="305"/>
      <c r="Q129" s="517"/>
    </row>
    <row r="130" spans="1:20" ht="178.5" customHeight="1" thickBot="1" x14ac:dyDescent="0.3">
      <c r="A130" s="209" t="s">
        <v>190</v>
      </c>
      <c r="B130" s="161" t="s">
        <v>137</v>
      </c>
      <c r="C130" s="638" t="s">
        <v>123</v>
      </c>
      <c r="D130" s="343"/>
      <c r="E130" s="340">
        <v>100</v>
      </c>
      <c r="F130" s="345"/>
      <c r="G130" s="346"/>
      <c r="H130" s="761"/>
      <c r="I130" s="338">
        <v>100</v>
      </c>
      <c r="J130" s="345"/>
      <c r="K130" s="762"/>
      <c r="L130" s="763"/>
      <c r="M130" s="341"/>
      <c r="N130" s="278"/>
      <c r="O130" s="304"/>
      <c r="P130" s="305"/>
      <c r="Q130" s="306"/>
    </row>
    <row r="131" spans="1:20" ht="25.5" x14ac:dyDescent="0.25">
      <c r="A131" s="476" t="s">
        <v>191</v>
      </c>
      <c r="B131" s="161" t="s">
        <v>138</v>
      </c>
      <c r="C131" s="547" t="s">
        <v>290</v>
      </c>
      <c r="D131" s="343"/>
      <c r="E131" s="340">
        <v>150</v>
      </c>
      <c r="F131" s="345"/>
      <c r="G131" s="346"/>
      <c r="H131" s="761"/>
      <c r="I131" s="338">
        <v>150</v>
      </c>
      <c r="J131" s="345"/>
      <c r="K131" s="762"/>
      <c r="L131" s="763"/>
      <c r="M131" s="340">
        <v>27.4</v>
      </c>
      <c r="N131" s="278"/>
      <c r="O131" s="304"/>
      <c r="P131" s="305"/>
      <c r="Q131" s="306"/>
    </row>
    <row r="132" spans="1:20" ht="168.75" customHeight="1" thickBot="1" x14ac:dyDescent="0.3">
      <c r="A132" s="342" t="s">
        <v>17</v>
      </c>
      <c r="B132" s="632" t="s">
        <v>309</v>
      </c>
      <c r="C132" s="638" t="s">
        <v>123</v>
      </c>
      <c r="D132" s="343">
        <v>200249.9</v>
      </c>
      <c r="E132" s="344"/>
      <c r="F132" s="345"/>
      <c r="G132" s="346"/>
      <c r="H132" s="761">
        <v>200249.9</v>
      </c>
      <c r="I132" s="338"/>
      <c r="J132" s="345"/>
      <c r="K132" s="762"/>
      <c r="L132" s="758">
        <v>85884.377999999997</v>
      </c>
      <c r="M132" s="344"/>
      <c r="N132" s="278"/>
      <c r="O132" s="304"/>
      <c r="P132" s="348"/>
      <c r="Q132" s="306"/>
    </row>
    <row r="133" spans="1:20" ht="67.5" hidden="1" customHeight="1" x14ac:dyDescent="0.25">
      <c r="A133" s="276" t="s">
        <v>105</v>
      </c>
      <c r="B133" s="277" t="s">
        <v>139</v>
      </c>
      <c r="C133" s="638" t="s">
        <v>123</v>
      </c>
      <c r="D133" s="343">
        <f>D134+D135</f>
        <v>0</v>
      </c>
      <c r="E133" s="347">
        <f>E134+E135</f>
        <v>0</v>
      </c>
      <c r="F133" s="345"/>
      <c r="G133" s="346"/>
      <c r="H133" s="343">
        <f>H134+H135</f>
        <v>0</v>
      </c>
      <c r="I133" s="761">
        <f>I134+I135</f>
        <v>0</v>
      </c>
      <c r="J133" s="345"/>
      <c r="K133" s="762"/>
      <c r="L133" s="343">
        <f>L134+L135</f>
        <v>0</v>
      </c>
      <c r="M133" s="761">
        <f>M134+M135</f>
        <v>0</v>
      </c>
      <c r="N133" s="278"/>
      <c r="O133" s="304"/>
      <c r="P133" s="305"/>
      <c r="Q133" s="306"/>
    </row>
    <row r="134" spans="1:20" ht="143.25" hidden="1" customHeight="1" x14ac:dyDescent="0.25">
      <c r="A134" s="209" t="s">
        <v>19</v>
      </c>
      <c r="B134" s="161" t="s">
        <v>46</v>
      </c>
      <c r="C134" s="638" t="s">
        <v>123</v>
      </c>
      <c r="D134" s="343"/>
      <c r="E134" s="340"/>
      <c r="F134" s="345"/>
      <c r="G134" s="346"/>
      <c r="H134" s="761"/>
      <c r="I134" s="340"/>
      <c r="J134" s="345"/>
      <c r="K134" s="762"/>
      <c r="L134" s="763"/>
      <c r="M134" s="341"/>
      <c r="N134" s="278"/>
      <c r="O134" s="304"/>
      <c r="P134" s="305"/>
      <c r="Q134" s="306"/>
    </row>
    <row r="135" spans="1:20" ht="46.5" hidden="1" customHeight="1" thickBot="1" x14ac:dyDescent="0.3">
      <c r="A135" s="476" t="s">
        <v>20</v>
      </c>
      <c r="B135" s="161" t="s">
        <v>44</v>
      </c>
      <c r="C135" s="638" t="s">
        <v>123</v>
      </c>
      <c r="D135" s="343"/>
      <c r="E135" s="341"/>
      <c r="F135" s="345"/>
      <c r="G135" s="346"/>
      <c r="H135" s="761"/>
      <c r="I135" s="340"/>
      <c r="J135" s="345"/>
      <c r="K135" s="762"/>
      <c r="L135" s="763"/>
      <c r="M135" s="341"/>
      <c r="N135" s="278"/>
      <c r="O135" s="304"/>
      <c r="P135" s="305"/>
      <c r="Q135" s="306"/>
    </row>
    <row r="136" spans="1:20" s="425" customFormat="1" ht="16.5" thickBot="1" x14ac:dyDescent="0.3">
      <c r="A136" s="415"/>
      <c r="B136" s="320" t="s">
        <v>165</v>
      </c>
      <c r="C136" s="555"/>
      <c r="D136" s="350">
        <f>D126+D133</f>
        <v>200249.9</v>
      </c>
      <c r="E136" s="350">
        <f>E126+E133</f>
        <v>38984.35686</v>
      </c>
      <c r="F136" s="518"/>
      <c r="G136" s="519"/>
      <c r="H136" s="764">
        <f>H126+H133</f>
        <v>200249.9</v>
      </c>
      <c r="I136" s="350">
        <f>I126+I133</f>
        <v>38984.357000000004</v>
      </c>
      <c r="J136" s="416"/>
      <c r="K136" s="520"/>
      <c r="L136" s="350">
        <f>L126+L133</f>
        <v>85884.377999999997</v>
      </c>
      <c r="M136" s="350">
        <f>M126+M133</f>
        <v>10736.902</v>
      </c>
      <c r="N136" s="521"/>
      <c r="O136" s="418"/>
      <c r="P136" s="419"/>
      <c r="Q136" s="420"/>
      <c r="R136" s="420"/>
      <c r="S136" s="422"/>
      <c r="T136" s="423"/>
    </row>
    <row r="137" spans="1:20" s="425" customFormat="1" ht="19.5" customHeight="1" x14ac:dyDescent="0.3">
      <c r="A137" s="895" t="s">
        <v>175</v>
      </c>
      <c r="B137" s="896"/>
      <c r="C137" s="896"/>
      <c r="D137" s="896"/>
      <c r="E137" s="896"/>
      <c r="F137" s="896"/>
      <c r="G137" s="896"/>
      <c r="H137" s="896"/>
      <c r="I137" s="896"/>
      <c r="J137" s="896"/>
      <c r="K137" s="896"/>
      <c r="L137" s="896"/>
      <c r="M137" s="896"/>
      <c r="N137" s="896"/>
      <c r="O137" s="896"/>
      <c r="P137" s="897"/>
      <c r="Q137" s="306"/>
      <c r="R137" s="422"/>
      <c r="S137" s="422"/>
    </row>
    <row r="138" spans="1:20" s="523" customFormat="1" ht="51" x14ac:dyDescent="0.2">
      <c r="A138" s="246" t="s">
        <v>70</v>
      </c>
      <c r="B138" s="270" t="s">
        <v>140</v>
      </c>
      <c r="C138" s="638" t="s">
        <v>123</v>
      </c>
      <c r="D138" s="593">
        <f>D139+D140+D141</f>
        <v>4819</v>
      </c>
      <c r="E138" s="285">
        <f>E139+E140+E141</f>
        <v>2015.8</v>
      </c>
      <c r="F138" s="285"/>
      <c r="G138" s="594"/>
      <c r="H138" s="573">
        <f>H139+H140+H141</f>
        <v>4819</v>
      </c>
      <c r="I138" s="285">
        <f>I139+I140+I141</f>
        <v>2015.8</v>
      </c>
      <c r="J138" s="285"/>
      <c r="K138" s="609"/>
      <c r="L138" s="593">
        <f>L139+L140+L141</f>
        <v>681.97900000000004</v>
      </c>
      <c r="M138" s="285">
        <f>M139+M140+M141</f>
        <v>283.4991</v>
      </c>
      <c r="N138" s="285"/>
      <c r="O138" s="594"/>
      <c r="P138" s="573"/>
      <c r="Q138" s="289"/>
      <c r="R138" s="522"/>
      <c r="S138" s="522"/>
    </row>
    <row r="139" spans="1:20" ht="25.5" x14ac:dyDescent="0.25">
      <c r="A139" s="351" t="s">
        <v>187</v>
      </c>
      <c r="B139" s="161" t="s">
        <v>141</v>
      </c>
      <c r="C139" s="638" t="s">
        <v>123</v>
      </c>
      <c r="D139" s="352"/>
      <c r="E139" s="338">
        <v>1992</v>
      </c>
      <c r="F139" s="353"/>
      <c r="G139" s="354"/>
      <c r="H139" s="413"/>
      <c r="I139" s="338">
        <v>1992</v>
      </c>
      <c r="J139" s="353"/>
      <c r="K139" s="355"/>
      <c r="L139" s="767"/>
      <c r="M139" s="765">
        <v>278.55459999999999</v>
      </c>
      <c r="N139" s="353"/>
      <c r="O139" s="354"/>
      <c r="P139" s="356"/>
      <c r="Q139" s="306"/>
    </row>
    <row r="140" spans="1:20" ht="59.25" customHeight="1" x14ac:dyDescent="0.25">
      <c r="A140" s="357" t="s">
        <v>188</v>
      </c>
      <c r="B140" s="639" t="s">
        <v>31</v>
      </c>
      <c r="C140" s="638" t="s">
        <v>123</v>
      </c>
      <c r="D140" s="358"/>
      <c r="E140" s="359">
        <v>23.8</v>
      </c>
      <c r="F140" s="360"/>
      <c r="G140" s="361"/>
      <c r="H140" s="409"/>
      <c r="I140" s="338">
        <v>23.8</v>
      </c>
      <c r="J140" s="360"/>
      <c r="K140" s="362"/>
      <c r="L140" s="768"/>
      <c r="M140" s="765">
        <f>3.51+1.4345</f>
        <v>4.9444999999999997</v>
      </c>
      <c r="N140" s="360"/>
      <c r="O140" s="361"/>
      <c r="P140" s="363"/>
      <c r="Q140" s="306"/>
    </row>
    <row r="141" spans="1:20" ht="51" customHeight="1" thickBot="1" x14ac:dyDescent="0.3">
      <c r="A141" s="364" t="s">
        <v>189</v>
      </c>
      <c r="B141" s="161" t="s">
        <v>386</v>
      </c>
      <c r="C141" s="638" t="s">
        <v>123</v>
      </c>
      <c r="D141" s="524">
        <v>4819</v>
      </c>
      <c r="E141" s="359"/>
      <c r="F141" s="360"/>
      <c r="G141" s="361"/>
      <c r="H141" s="769">
        <v>4819</v>
      </c>
      <c r="I141" s="359"/>
      <c r="J141" s="360"/>
      <c r="K141" s="362"/>
      <c r="L141" s="766">
        <v>681.97900000000004</v>
      </c>
      <c r="M141" s="219"/>
      <c r="N141" s="360"/>
      <c r="O141" s="361"/>
      <c r="P141" s="363"/>
      <c r="Q141" s="306"/>
    </row>
    <row r="142" spans="1:20" s="425" customFormat="1" ht="20.25" customHeight="1" thickBot="1" x14ac:dyDescent="0.3">
      <c r="A142" s="415"/>
      <c r="B142" s="320" t="s">
        <v>165</v>
      </c>
      <c r="C142" s="555"/>
      <c r="D142" s="365">
        <f>D138</f>
        <v>4819</v>
      </c>
      <c r="E142" s="366">
        <f>E138</f>
        <v>2015.8</v>
      </c>
      <c r="F142" s="521"/>
      <c r="G142" s="418"/>
      <c r="H142" s="574">
        <f>H138</f>
        <v>4819</v>
      </c>
      <c r="I142" s="366">
        <f>I138</f>
        <v>2015.8</v>
      </c>
      <c r="J142" s="521"/>
      <c r="K142" s="525"/>
      <c r="L142" s="366">
        <f>L138</f>
        <v>681.97900000000004</v>
      </c>
      <c r="M142" s="366">
        <f>M138</f>
        <v>283.4991</v>
      </c>
      <c r="N142" s="521"/>
      <c r="O142" s="418"/>
      <c r="P142" s="419"/>
      <c r="Q142" s="420"/>
      <c r="R142" s="422"/>
      <c r="S142" s="422"/>
    </row>
    <row r="143" spans="1:20" s="425" customFormat="1" ht="16.5" customHeight="1" x14ac:dyDescent="0.3">
      <c r="A143" s="895" t="s">
        <v>142</v>
      </c>
      <c r="B143" s="896"/>
      <c r="C143" s="896"/>
      <c r="D143" s="896"/>
      <c r="E143" s="896"/>
      <c r="F143" s="896"/>
      <c r="G143" s="896"/>
      <c r="H143" s="896"/>
      <c r="I143" s="896"/>
      <c r="J143" s="896"/>
      <c r="K143" s="896"/>
      <c r="L143" s="896"/>
      <c r="M143" s="896"/>
      <c r="N143" s="896"/>
      <c r="O143" s="896"/>
      <c r="P143" s="897"/>
      <c r="Q143" s="306"/>
      <c r="R143" s="422"/>
      <c r="S143" s="422"/>
      <c r="T143" s="526"/>
    </row>
    <row r="144" spans="1:20" s="523" customFormat="1" ht="64.5" customHeight="1" x14ac:dyDescent="0.2">
      <c r="A144" s="285" t="s">
        <v>108</v>
      </c>
      <c r="B144" s="286" t="s">
        <v>143</v>
      </c>
      <c r="C144" s="648" t="s">
        <v>290</v>
      </c>
      <c r="D144" s="728">
        <f>D145+D146+D147+D151+D152</f>
        <v>0</v>
      </c>
      <c r="E144" s="728">
        <f>E145+E146+E147+E151+E152</f>
        <v>1797914.8925999999</v>
      </c>
      <c r="F144" s="285"/>
      <c r="G144" s="594"/>
      <c r="H144" s="728">
        <f>H145+H146+H147+H151+H152</f>
        <v>0</v>
      </c>
      <c r="I144" s="728">
        <f>I145+I146+I147+I151+I152</f>
        <v>1797914.8925999999</v>
      </c>
      <c r="J144" s="285"/>
      <c r="K144" s="594"/>
      <c r="L144" s="728">
        <f>L145+L146+L147+L151+L152</f>
        <v>0</v>
      </c>
      <c r="M144" s="728">
        <f>M145+M146+M147+M151+M152</f>
        <v>1005379.3499</v>
      </c>
      <c r="N144" s="285"/>
      <c r="O144" s="594"/>
      <c r="P144" s="573"/>
      <c r="Q144" s="289"/>
      <c r="R144" s="522"/>
      <c r="S144" s="522"/>
      <c r="T144" s="527"/>
    </row>
    <row r="145" spans="1:20" s="425" customFormat="1" ht="23.25" customHeight="1" x14ac:dyDescent="0.25">
      <c r="A145" s="913" t="s">
        <v>187</v>
      </c>
      <c r="B145" s="915" t="s">
        <v>271</v>
      </c>
      <c r="C145" s="641" t="s">
        <v>151</v>
      </c>
      <c r="D145" s="352"/>
      <c r="E145" s="729">
        <v>191820.34099999999</v>
      </c>
      <c r="F145" s="368"/>
      <c r="G145" s="411"/>
      <c r="H145" s="352"/>
      <c r="I145" s="753">
        <f>76247.1+115573.241</f>
        <v>191820.34100000001</v>
      </c>
      <c r="J145" s="368"/>
      <c r="K145" s="528"/>
      <c r="L145" s="431"/>
      <c r="M145" s="310">
        <f>38027.74446+66447.96355</f>
        <v>104475.70801</v>
      </c>
      <c r="N145" s="353"/>
      <c r="O145" s="354"/>
      <c r="P145" s="356"/>
      <c r="Q145" s="306"/>
      <c r="R145" s="422"/>
      <c r="S145" s="422"/>
    </row>
    <row r="146" spans="1:20" s="425" customFormat="1" ht="17.25" customHeight="1" x14ac:dyDescent="0.25">
      <c r="A146" s="914"/>
      <c r="B146" s="916"/>
      <c r="C146" s="641" t="s">
        <v>123</v>
      </c>
      <c r="D146" s="352"/>
      <c r="E146" s="413">
        <v>18669.8</v>
      </c>
      <c r="F146" s="368"/>
      <c r="G146" s="411"/>
      <c r="H146" s="352"/>
      <c r="I146" s="660">
        <v>18669.8</v>
      </c>
      <c r="J146" s="368"/>
      <c r="K146" s="528"/>
      <c r="L146" s="431"/>
      <c r="M146" s="770">
        <v>13506.379000000001</v>
      </c>
      <c r="N146" s="353"/>
      <c r="O146" s="354"/>
      <c r="P146" s="356"/>
      <c r="Q146" s="289">
        <f>M146/E146</f>
        <v>0.72343458419479589</v>
      </c>
      <c r="R146" s="422"/>
      <c r="S146" s="422"/>
    </row>
    <row r="147" spans="1:20" s="531" customFormat="1" ht="51" customHeight="1" x14ac:dyDescent="0.2">
      <c r="A147" s="634" t="s">
        <v>188</v>
      </c>
      <c r="B147" s="192" t="s">
        <v>376</v>
      </c>
      <c r="C147" s="641" t="s">
        <v>387</v>
      </c>
      <c r="D147" s="529">
        <f>D148+D149+D150</f>
        <v>0</v>
      </c>
      <c r="E147" s="403">
        <f>E148+E149+E150</f>
        <v>1574132.2615999999</v>
      </c>
      <c r="F147" s="205"/>
      <c r="G147" s="398"/>
      <c r="H147" s="529">
        <f t="shared" ref="H147:I147" si="2">H148+H149+H150</f>
        <v>0</v>
      </c>
      <c r="I147" s="403">
        <f t="shared" si="2"/>
        <v>1574132.2615999999</v>
      </c>
      <c r="J147" s="205"/>
      <c r="K147" s="399"/>
      <c r="L147" s="529">
        <f t="shared" ref="L147:M147" si="3">L148+L149+L150</f>
        <v>0</v>
      </c>
      <c r="M147" s="403">
        <f t="shared" si="3"/>
        <v>879426.77413000003</v>
      </c>
      <c r="N147" s="278"/>
      <c r="O147" s="304"/>
      <c r="P147" s="305"/>
      <c r="Q147" s="289"/>
      <c r="R147" s="530"/>
      <c r="S147" s="530"/>
    </row>
    <row r="148" spans="1:20" s="531" customFormat="1" ht="39.75" customHeight="1" x14ac:dyDescent="0.2">
      <c r="A148" s="913" t="s">
        <v>129</v>
      </c>
      <c r="B148" s="900" t="s">
        <v>377</v>
      </c>
      <c r="C148" s="641" t="s">
        <v>151</v>
      </c>
      <c r="D148" s="529"/>
      <c r="E148" s="731">
        <v>1440951.0615999999</v>
      </c>
      <c r="F148" s="205"/>
      <c r="G148" s="398"/>
      <c r="H148" s="529"/>
      <c r="I148" s="731">
        <v>1440951.0615999999</v>
      </c>
      <c r="J148" s="205"/>
      <c r="K148" s="399"/>
      <c r="L148" s="299"/>
      <c r="M148" s="311">
        <v>800211.07929000002</v>
      </c>
      <c r="N148" s="278"/>
      <c r="O148" s="304"/>
      <c r="P148" s="305"/>
      <c r="Q148" s="289"/>
      <c r="R148" s="530"/>
      <c r="S148" s="530"/>
    </row>
    <row r="149" spans="1:20" s="531" customFormat="1" ht="38.25" customHeight="1" x14ac:dyDescent="0.2">
      <c r="A149" s="914"/>
      <c r="B149" s="917"/>
      <c r="C149" s="641" t="s">
        <v>320</v>
      </c>
      <c r="D149" s="529"/>
      <c r="E149" s="403">
        <v>3000</v>
      </c>
      <c r="F149" s="205"/>
      <c r="G149" s="398"/>
      <c r="H149" s="529"/>
      <c r="I149" s="310">
        <v>3000</v>
      </c>
      <c r="J149" s="205"/>
      <c r="K149" s="399"/>
      <c r="L149" s="299"/>
      <c r="M149" s="311">
        <v>0</v>
      </c>
      <c r="N149" s="278"/>
      <c r="O149" s="304"/>
      <c r="P149" s="305"/>
      <c r="Q149" s="289"/>
      <c r="R149" s="530"/>
      <c r="S149" s="530"/>
    </row>
    <row r="150" spans="1:20" s="425" customFormat="1" ht="51.75" customHeight="1" x14ac:dyDescent="0.25">
      <c r="A150" s="634" t="s">
        <v>379</v>
      </c>
      <c r="B150" s="633" t="s">
        <v>388</v>
      </c>
      <c r="C150" s="641" t="s">
        <v>123</v>
      </c>
      <c r="D150" s="529"/>
      <c r="E150" s="403">
        <v>130181.2</v>
      </c>
      <c r="F150" s="205"/>
      <c r="G150" s="398"/>
      <c r="H150" s="529"/>
      <c r="I150" s="566">
        <v>130181.2</v>
      </c>
      <c r="J150" s="751"/>
      <c r="K150" s="752"/>
      <c r="L150" s="732"/>
      <c r="M150" s="771">
        <v>79215.694839999996</v>
      </c>
      <c r="N150" s="278"/>
      <c r="O150" s="304"/>
      <c r="P150" s="305"/>
      <c r="Q150" s="289">
        <f>M150/E150</f>
        <v>0.60850333873093809</v>
      </c>
      <c r="R150" s="422"/>
      <c r="S150" s="422"/>
    </row>
    <row r="151" spans="1:20" ht="51" x14ac:dyDescent="0.25">
      <c r="A151" s="157" t="s">
        <v>189</v>
      </c>
      <c r="B151" s="158" t="s">
        <v>169</v>
      </c>
      <c r="C151" s="641" t="s">
        <v>151</v>
      </c>
      <c r="D151" s="299"/>
      <c r="E151" s="311">
        <v>11050</v>
      </c>
      <c r="F151" s="300"/>
      <c r="G151" s="301"/>
      <c r="H151" s="299"/>
      <c r="I151" s="311">
        <v>11050</v>
      </c>
      <c r="J151" s="300"/>
      <c r="K151" s="302"/>
      <c r="L151" s="303"/>
      <c r="M151" s="308">
        <v>7722.3429999999998</v>
      </c>
      <c r="N151" s="300"/>
      <c r="O151" s="304"/>
      <c r="P151" s="305"/>
      <c r="Q151" s="306"/>
    </row>
    <row r="152" spans="1:20" ht="168" customHeight="1" x14ac:dyDescent="0.25">
      <c r="A152" s="177" t="s">
        <v>190</v>
      </c>
      <c r="B152" s="730" t="s">
        <v>416</v>
      </c>
      <c r="C152" s="727" t="s">
        <v>151</v>
      </c>
      <c r="D152" s="299"/>
      <c r="E152" s="311">
        <v>2242.4899999999998</v>
      </c>
      <c r="F152" s="532"/>
      <c r="G152" s="533"/>
      <c r="H152" s="299"/>
      <c r="I152" s="311">
        <v>2242.4899999999998</v>
      </c>
      <c r="J152" s="532"/>
      <c r="K152" s="534"/>
      <c r="L152" s="303"/>
      <c r="M152" s="308">
        <v>248.14576</v>
      </c>
      <c r="N152" s="532"/>
      <c r="O152" s="361"/>
      <c r="P152" s="363"/>
      <c r="Q152" s="306"/>
    </row>
    <row r="153" spans="1:20" ht="56.25" customHeight="1" x14ac:dyDescent="0.25">
      <c r="A153" s="216" t="s">
        <v>105</v>
      </c>
      <c r="B153" s="217" t="s">
        <v>145</v>
      </c>
      <c r="C153" s="641" t="s">
        <v>151</v>
      </c>
      <c r="D153" s="299">
        <f>D154</f>
        <v>0</v>
      </c>
      <c r="E153" s="565">
        <f>E154</f>
        <v>4061</v>
      </c>
      <c r="F153" s="532"/>
      <c r="G153" s="533"/>
      <c r="H153" s="299">
        <f>H154</f>
        <v>0</v>
      </c>
      <c r="I153" s="311">
        <f>I154</f>
        <v>4061</v>
      </c>
      <c r="J153" s="532"/>
      <c r="K153" s="534"/>
      <c r="L153" s="299">
        <f>L154</f>
        <v>0</v>
      </c>
      <c r="M153" s="311">
        <f>M154</f>
        <v>1498.319</v>
      </c>
      <c r="N153" s="532"/>
      <c r="O153" s="361"/>
      <c r="P153" s="363"/>
      <c r="Q153" s="306"/>
    </row>
    <row r="154" spans="1:20" ht="53.25" customHeight="1" thickBot="1" x14ac:dyDescent="0.3">
      <c r="A154" s="634" t="s">
        <v>19</v>
      </c>
      <c r="B154" s="635" t="s">
        <v>389</v>
      </c>
      <c r="C154" s="641" t="s">
        <v>151</v>
      </c>
      <c r="D154" s="661"/>
      <c r="E154" s="535">
        <v>4061</v>
      </c>
      <c r="F154" s="532"/>
      <c r="G154" s="533"/>
      <c r="H154" s="661"/>
      <c r="I154" s="535">
        <v>4061</v>
      </c>
      <c r="J154" s="532"/>
      <c r="K154" s="534"/>
      <c r="L154" s="405"/>
      <c r="M154" s="535">
        <v>1498.319</v>
      </c>
      <c r="N154" s="532"/>
      <c r="O154" s="361"/>
      <c r="P154" s="363"/>
      <c r="Q154" s="306"/>
    </row>
    <row r="155" spans="1:20" s="425" customFormat="1" ht="16.5" thickBot="1" x14ac:dyDescent="0.3">
      <c r="A155" s="415"/>
      <c r="B155" s="320" t="s">
        <v>165</v>
      </c>
      <c r="C155" s="557"/>
      <c r="D155" s="366">
        <f>D144+D153</f>
        <v>0</v>
      </c>
      <c r="E155" s="371">
        <f>E144+E153</f>
        <v>1801975.8925999999</v>
      </c>
      <c r="F155" s="521"/>
      <c r="G155" s="418"/>
      <c r="H155" s="574">
        <f>H144+H153</f>
        <v>0</v>
      </c>
      <c r="I155" s="366">
        <f>I144+I153</f>
        <v>1801975.8925999999</v>
      </c>
      <c r="J155" s="521"/>
      <c r="K155" s="525"/>
      <c r="L155" s="366">
        <f>L144+L153</f>
        <v>0</v>
      </c>
      <c r="M155" s="366">
        <f>M144+M153</f>
        <v>1006877.6689</v>
      </c>
      <c r="N155" s="521"/>
      <c r="O155" s="418"/>
      <c r="P155" s="419"/>
      <c r="Q155" s="420"/>
      <c r="R155" s="421"/>
      <c r="S155" s="422"/>
    </row>
    <row r="156" spans="1:20" s="425" customFormat="1" ht="15.75" hidden="1" thickBot="1" x14ac:dyDescent="0.3">
      <c r="A156" s="415"/>
      <c r="B156" s="320"/>
      <c r="C156" s="557"/>
      <c r="D156" s="366"/>
      <c r="E156" s="366"/>
      <c r="F156" s="521"/>
      <c r="G156" s="418"/>
      <c r="H156" s="574"/>
      <c r="I156" s="366">
        <f>I145+I147+I151</f>
        <v>1777002.6025999999</v>
      </c>
      <c r="J156" s="521"/>
      <c r="K156" s="525"/>
      <c r="L156" s="366"/>
      <c r="M156" s="366">
        <f>M145+M147+M151</f>
        <v>991624.82513999997</v>
      </c>
      <c r="N156" s="521"/>
      <c r="O156" s="418"/>
      <c r="P156" s="419"/>
      <c r="Q156" s="536"/>
      <c r="R156" s="422"/>
      <c r="S156" s="422"/>
    </row>
    <row r="157" spans="1:20" ht="16.5" thickBot="1" x14ac:dyDescent="0.3">
      <c r="A157" s="537"/>
      <c r="B157" s="372" t="s">
        <v>166</v>
      </c>
      <c r="C157" s="558"/>
      <c r="D157" s="365">
        <f>D64+D93+D123+D136+D142+D155</f>
        <v>2183903.5900000003</v>
      </c>
      <c r="E157" s="371">
        <f>E64+E93+E123+E136+E142+E155</f>
        <v>7351854.0494599994</v>
      </c>
      <c r="F157" s="538"/>
      <c r="G157" s="539"/>
      <c r="H157" s="575">
        <f>H64+H93+H123+H136+H142+H155</f>
        <v>2183903.5900000003</v>
      </c>
      <c r="I157" s="373">
        <f>I64+I93+I123+I136+I142+I155</f>
        <v>7351854.0495999996</v>
      </c>
      <c r="J157" s="538"/>
      <c r="K157" s="540"/>
      <c r="L157" s="373">
        <f>L64+L93+L123+L136+L142+L155</f>
        <v>1048498.70206</v>
      </c>
      <c r="M157" s="373">
        <f>M64+M93+M123+M136+M142+M155</f>
        <v>4861324.1252200007</v>
      </c>
      <c r="N157" s="541"/>
      <c r="O157" s="542"/>
      <c r="P157" s="543"/>
      <c r="Q157" s="420"/>
      <c r="R157" s="421"/>
      <c r="S157" s="422"/>
      <c r="T157" s="544"/>
    </row>
    <row r="158" spans="1:20" ht="15.75" x14ac:dyDescent="0.25">
      <c r="E158" s="595"/>
      <c r="I158" s="374"/>
      <c r="M158" s="613">
        <f>M155-M146-M150</f>
        <v>914155.59506000008</v>
      </c>
      <c r="Q158" s="420"/>
    </row>
    <row r="159" spans="1:20" x14ac:dyDescent="0.25">
      <c r="B159" s="162" t="s">
        <v>417</v>
      </c>
      <c r="D159" s="596"/>
      <c r="E159" s="597"/>
      <c r="F159" s="597"/>
      <c r="G159" s="598"/>
      <c r="H159" s="375"/>
      <c r="I159" s="597">
        <f>H157+I157-I31-I61-H63-I63-H97-I97-H136-I136-H142-I142-I146-I149-I150</f>
        <v>9108288.7825999968</v>
      </c>
      <c r="J159" s="375"/>
      <c r="K159" s="375"/>
      <c r="L159" s="614"/>
      <c r="M159" s="597">
        <f>L157+M157-M61-L136-M136-L142-M142-M146-M150</f>
        <v>5715810.0553400014</v>
      </c>
    </row>
    <row r="160" spans="1:20" x14ac:dyDescent="0.25">
      <c r="D160" s="596"/>
      <c r="E160" s="599"/>
      <c r="H160" s="546"/>
      <c r="I160" s="376"/>
      <c r="L160" s="615"/>
      <c r="M160" s="616"/>
    </row>
    <row r="161" spans="3:19" x14ac:dyDescent="0.25">
      <c r="D161" s="596"/>
      <c r="H161" s="545"/>
      <c r="I161" s="377"/>
      <c r="L161" s="617"/>
      <c r="M161" s="616"/>
    </row>
    <row r="162" spans="3:19" x14ac:dyDescent="0.25">
      <c r="D162" s="600"/>
    </row>
    <row r="163" spans="3:19" x14ac:dyDescent="0.25">
      <c r="M163" s="618"/>
    </row>
    <row r="164" spans="3:19" x14ac:dyDescent="0.25">
      <c r="C164" s="162"/>
      <c r="D164" s="601"/>
      <c r="L164" s="162"/>
      <c r="M164" s="162"/>
      <c r="N164" s="162"/>
      <c r="O164" s="162"/>
      <c r="Q164" s="162"/>
      <c r="R164" s="162"/>
      <c r="S164" s="162"/>
    </row>
    <row r="167" spans="3:19" x14ac:dyDescent="0.25">
      <c r="C167" s="162"/>
      <c r="I167" s="377"/>
      <c r="L167" s="162"/>
      <c r="M167" s="162"/>
      <c r="N167" s="162"/>
      <c r="O167" s="162"/>
      <c r="Q167" s="162"/>
      <c r="R167" s="162"/>
      <c r="S167" s="162"/>
    </row>
    <row r="168" spans="3:19" x14ac:dyDescent="0.25">
      <c r="C168" s="162"/>
      <c r="I168" s="377"/>
      <c r="L168" s="162"/>
      <c r="M168" s="162"/>
      <c r="N168" s="162"/>
      <c r="O168" s="162"/>
      <c r="Q168" s="162"/>
      <c r="R168" s="162"/>
      <c r="S168" s="162"/>
    </row>
  </sheetData>
  <mergeCells count="27">
    <mergeCell ref="A145:A146"/>
    <mergeCell ref="B145:B146"/>
    <mergeCell ref="A148:A149"/>
    <mergeCell ref="B148:B149"/>
    <mergeCell ref="A2:P2"/>
    <mergeCell ref="A3:P3"/>
    <mergeCell ref="P5:P6"/>
    <mergeCell ref="A8:P8"/>
    <mergeCell ref="A5:A6"/>
    <mergeCell ref="H5:K5"/>
    <mergeCell ref="O4:P4"/>
    <mergeCell ref="D5:G5"/>
    <mergeCell ref="L5:O5"/>
    <mergeCell ref="B5:B6"/>
    <mergeCell ref="C5:C6"/>
    <mergeCell ref="A143:P143"/>
    <mergeCell ref="A30:A31"/>
    <mergeCell ref="B30:B31"/>
    <mergeCell ref="A137:P137"/>
    <mergeCell ref="A62:A63"/>
    <mergeCell ref="B62:B63"/>
    <mergeCell ref="A66:P66"/>
    <mergeCell ref="A94:P94"/>
    <mergeCell ref="A97:A98"/>
    <mergeCell ref="B97:B98"/>
    <mergeCell ref="C98:C103"/>
    <mergeCell ref="A125:P125"/>
  </mergeCells>
  <phoneticPr fontId="29" type="noConversion"/>
  <pageMargins left="0" right="0" top="0.51181102362204722" bottom="0.31496062992125984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90" zoomScaleNormal="100" zoomScaleSheetLayoutView="90" workbookViewId="0">
      <selection activeCell="I5" sqref="I5"/>
    </sheetView>
  </sheetViews>
  <sheetFormatPr defaultRowHeight="15" x14ac:dyDescent="0.25"/>
  <cols>
    <col min="1" max="1" width="9.7109375" style="223" customWidth="1"/>
    <col min="2" max="2" width="42.140625" style="223" customWidth="1"/>
    <col min="3" max="3" width="23.42578125" style="223" customWidth="1"/>
    <col min="4" max="4" width="10.42578125" style="223" customWidth="1"/>
    <col min="5" max="5" width="11.42578125" style="223" customWidth="1"/>
    <col min="6" max="6" width="12.42578125" style="223" customWidth="1"/>
    <col min="7" max="7" width="36.28515625" style="223" customWidth="1"/>
    <col min="8" max="16384" width="9.140625" style="223"/>
  </cols>
  <sheetData>
    <row r="1" spans="1:8" x14ac:dyDescent="0.25">
      <c r="G1" s="224" t="s">
        <v>1</v>
      </c>
    </row>
    <row r="2" spans="1:8" ht="18.75" x14ac:dyDescent="0.3">
      <c r="A2" s="934" t="s">
        <v>0</v>
      </c>
      <c r="B2" s="934"/>
      <c r="C2" s="934"/>
      <c r="D2" s="934"/>
      <c r="E2" s="934"/>
      <c r="F2" s="934"/>
      <c r="G2" s="934"/>
    </row>
    <row r="3" spans="1:8" ht="18.75" x14ac:dyDescent="0.3">
      <c r="A3" s="934" t="s">
        <v>535</v>
      </c>
      <c r="B3" s="934"/>
      <c r="C3" s="934"/>
      <c r="D3" s="934"/>
      <c r="E3" s="934"/>
      <c r="F3" s="934"/>
      <c r="G3" s="934"/>
    </row>
    <row r="4" spans="1:8" ht="19.5" customHeight="1" x14ac:dyDescent="0.3">
      <c r="A4" s="225"/>
      <c r="B4" s="225"/>
      <c r="C4" s="226"/>
      <c r="D4" s="227"/>
      <c r="E4" s="227"/>
      <c r="F4" s="228"/>
      <c r="G4" s="229"/>
    </row>
    <row r="5" spans="1:8" ht="71.25" customHeight="1" x14ac:dyDescent="0.25">
      <c r="A5" s="129" t="s">
        <v>155</v>
      </c>
      <c r="B5" s="129" t="s">
        <v>156</v>
      </c>
      <c r="C5" s="129" t="s">
        <v>289</v>
      </c>
      <c r="D5" s="129" t="s">
        <v>594</v>
      </c>
      <c r="E5" s="129" t="s">
        <v>595</v>
      </c>
      <c r="F5" s="129" t="s">
        <v>286</v>
      </c>
      <c r="G5" s="129" t="s">
        <v>285</v>
      </c>
    </row>
    <row r="6" spans="1:8" x14ac:dyDescent="0.25">
      <c r="A6" s="230">
        <v>1</v>
      </c>
      <c r="B6" s="230">
        <v>2</v>
      </c>
      <c r="C6" s="230">
        <v>3</v>
      </c>
      <c r="D6" s="230">
        <v>4</v>
      </c>
      <c r="E6" s="230">
        <v>5</v>
      </c>
      <c r="F6" s="230">
        <v>6</v>
      </c>
      <c r="G6" s="230">
        <v>7</v>
      </c>
    </row>
    <row r="7" spans="1:8" ht="16.5" customHeight="1" x14ac:dyDescent="0.25">
      <c r="A7" s="935" t="s">
        <v>164</v>
      </c>
      <c r="B7" s="935"/>
      <c r="C7" s="935"/>
      <c r="D7" s="936"/>
      <c r="E7" s="935"/>
      <c r="F7" s="935"/>
      <c r="G7" s="935"/>
    </row>
    <row r="8" spans="1:8" s="162" customFormat="1" ht="193.5" customHeight="1" x14ac:dyDescent="0.25">
      <c r="A8" s="945" t="s">
        <v>70</v>
      </c>
      <c r="B8" s="948" t="s">
        <v>69</v>
      </c>
      <c r="C8" s="172" t="s">
        <v>54</v>
      </c>
      <c r="D8" s="180">
        <v>2.6</v>
      </c>
      <c r="E8" s="829">
        <v>2.6</v>
      </c>
      <c r="F8" s="830">
        <f>E8/D8</f>
        <v>1</v>
      </c>
      <c r="G8" s="185" t="s">
        <v>428</v>
      </c>
    </row>
    <row r="9" spans="1:8" s="162" customFormat="1" ht="174" customHeight="1" x14ac:dyDescent="0.25">
      <c r="A9" s="946"/>
      <c r="B9" s="949"/>
      <c r="C9" s="172" t="s">
        <v>55</v>
      </c>
      <c r="D9" s="202">
        <v>0.25</v>
      </c>
      <c r="E9" s="829">
        <v>0.25</v>
      </c>
      <c r="F9" s="830">
        <f>E9/D9</f>
        <v>1</v>
      </c>
      <c r="G9" s="185" t="s">
        <v>428</v>
      </c>
    </row>
    <row r="10" spans="1:8" s="162" customFormat="1" ht="126" customHeight="1" x14ac:dyDescent="0.25">
      <c r="A10" s="947"/>
      <c r="B10" s="950"/>
      <c r="C10" s="814" t="s">
        <v>284</v>
      </c>
      <c r="D10" s="831">
        <v>98.6</v>
      </c>
      <c r="E10" s="832">
        <v>99.5</v>
      </c>
      <c r="F10" s="824">
        <f>E10/D10</f>
        <v>1.0091277890466532</v>
      </c>
      <c r="G10" s="185" t="s">
        <v>513</v>
      </c>
    </row>
    <row r="11" spans="1:8" x14ac:dyDescent="0.25">
      <c r="A11" s="937" t="s">
        <v>170</v>
      </c>
      <c r="B11" s="937"/>
      <c r="C11" s="938"/>
      <c r="D11" s="938"/>
      <c r="E11" s="938"/>
      <c r="F11" s="938"/>
      <c r="G11" s="938"/>
    </row>
    <row r="12" spans="1:8" ht="25.5" hidden="1" customHeight="1" x14ac:dyDescent="0.25">
      <c r="A12" s="815"/>
      <c r="B12" s="816"/>
      <c r="C12" s="131"/>
      <c r="D12" s="233"/>
      <c r="E12" s="233"/>
      <c r="F12" s="233"/>
      <c r="G12" s="131"/>
    </row>
    <row r="13" spans="1:8" ht="213" customHeight="1" x14ac:dyDescent="0.25">
      <c r="A13" s="815" t="s">
        <v>108</v>
      </c>
      <c r="B13" s="816" t="s">
        <v>69</v>
      </c>
      <c r="C13" s="75" t="s">
        <v>264</v>
      </c>
      <c r="D13" s="235">
        <v>0.86</v>
      </c>
      <c r="E13" s="235">
        <v>0.86799999999999999</v>
      </c>
      <c r="F13" s="232">
        <f t="shared" ref="F13" si="0">E13/D13</f>
        <v>1.0093023255813953</v>
      </c>
      <c r="G13" s="185" t="s">
        <v>584</v>
      </c>
      <c r="H13" s="817"/>
    </row>
    <row r="14" spans="1:8" x14ac:dyDescent="0.25">
      <c r="A14" s="937" t="s">
        <v>171</v>
      </c>
      <c r="B14" s="937"/>
      <c r="C14" s="937"/>
      <c r="D14" s="937"/>
      <c r="E14" s="937"/>
      <c r="F14" s="937"/>
      <c r="G14" s="937"/>
    </row>
    <row r="15" spans="1:8" ht="102" x14ac:dyDescent="0.25">
      <c r="A15" s="951" t="s">
        <v>70</v>
      </c>
      <c r="B15" s="954" t="s">
        <v>423</v>
      </c>
      <c r="C15" s="231" t="s">
        <v>58</v>
      </c>
      <c r="D15" s="833">
        <v>100</v>
      </c>
      <c r="E15" s="834">
        <v>100</v>
      </c>
      <c r="F15" s="830">
        <f t="shared" ref="F15" si="1">E15/D15</f>
        <v>1</v>
      </c>
      <c r="G15" s="185" t="s">
        <v>429</v>
      </c>
    </row>
    <row r="16" spans="1:8" ht="168.75" customHeight="1" x14ac:dyDescent="0.25">
      <c r="A16" s="952"/>
      <c r="B16" s="955"/>
      <c r="C16" s="237" t="s">
        <v>53</v>
      </c>
      <c r="D16" s="180">
        <f>8+9</f>
        <v>17</v>
      </c>
      <c r="E16" s="818">
        <f>8+9</f>
        <v>17</v>
      </c>
      <c r="F16" s="830">
        <f>E16/D16</f>
        <v>1</v>
      </c>
      <c r="G16" s="185" t="s">
        <v>429</v>
      </c>
    </row>
    <row r="17" spans="1:9" ht="79.5" customHeight="1" x14ac:dyDescent="0.25">
      <c r="A17" s="953"/>
      <c r="B17" s="956"/>
      <c r="C17" s="231" t="s">
        <v>59</v>
      </c>
      <c r="D17" s="819">
        <f>1.45+1.45</f>
        <v>2.9</v>
      </c>
      <c r="E17" s="820">
        <f>1.45+1.45</f>
        <v>2.9</v>
      </c>
      <c r="F17" s="830">
        <f>E17/D17</f>
        <v>1</v>
      </c>
      <c r="G17" s="185" t="s">
        <v>429</v>
      </c>
    </row>
    <row r="18" spans="1:9" x14ac:dyDescent="0.25">
      <c r="A18" s="938" t="s">
        <v>173</v>
      </c>
      <c r="B18" s="937"/>
      <c r="C18" s="938"/>
      <c r="D18" s="938"/>
      <c r="E18" s="938"/>
      <c r="F18" s="938"/>
      <c r="G18" s="938"/>
    </row>
    <row r="19" spans="1:9" s="162" customFormat="1" ht="83.25" customHeight="1" x14ac:dyDescent="0.25">
      <c r="A19" s="957" t="s">
        <v>70</v>
      </c>
      <c r="B19" s="966" t="s">
        <v>424</v>
      </c>
      <c r="C19" s="703" t="s">
        <v>267</v>
      </c>
      <c r="D19" s="835">
        <v>0.6</v>
      </c>
      <c r="E19" s="835">
        <v>0.48</v>
      </c>
      <c r="F19" s="824">
        <f>(D19-E19)/D19*100%+100%</f>
        <v>1.2</v>
      </c>
      <c r="G19" s="247" t="s">
        <v>418</v>
      </c>
      <c r="H19" s="821"/>
      <c r="I19" s="821"/>
    </row>
    <row r="20" spans="1:9" s="162" customFormat="1" ht="108" customHeight="1" x14ac:dyDescent="0.25">
      <c r="A20" s="958"/>
      <c r="B20" s="967"/>
      <c r="C20" s="822" t="s">
        <v>370</v>
      </c>
      <c r="D20" s="823">
        <v>249</v>
      </c>
      <c r="E20" s="823">
        <v>213</v>
      </c>
      <c r="F20" s="824">
        <f>E20/D20</f>
        <v>0.85542168674698793</v>
      </c>
      <c r="G20" s="247" t="s">
        <v>419</v>
      </c>
      <c r="H20" s="844" t="s">
        <v>536</v>
      </c>
      <c r="I20" s="821"/>
    </row>
    <row r="21" spans="1:9" s="162" customFormat="1" ht="63" customHeight="1" x14ac:dyDescent="0.25">
      <c r="A21" s="958"/>
      <c r="B21" s="967"/>
      <c r="C21" s="161" t="s">
        <v>297</v>
      </c>
      <c r="D21" s="836">
        <f>19500+22800</f>
        <v>42300</v>
      </c>
      <c r="E21" s="836">
        <f>17435+39938</f>
        <v>57373</v>
      </c>
      <c r="F21" s="824">
        <f>E21/D21</f>
        <v>1.3563356973995271</v>
      </c>
      <c r="G21" s="247" t="s">
        <v>589</v>
      </c>
    </row>
    <row r="22" spans="1:9" s="162" customFormat="1" ht="76.5" x14ac:dyDescent="0.25">
      <c r="A22" s="958"/>
      <c r="B22" s="967"/>
      <c r="C22" s="825" t="s">
        <v>298</v>
      </c>
      <c r="D22" s="837">
        <f>2200+3300</f>
        <v>5500</v>
      </c>
      <c r="E22" s="837">
        <f>2215+3356</f>
        <v>5571</v>
      </c>
      <c r="F22" s="824">
        <f>E22/D22</f>
        <v>1.012909090909091</v>
      </c>
      <c r="G22" s="161" t="s">
        <v>588</v>
      </c>
    </row>
    <row r="23" spans="1:9" s="162" customFormat="1" ht="76.5" x14ac:dyDescent="0.25">
      <c r="A23" s="958"/>
      <c r="B23" s="967"/>
      <c r="C23" s="825" t="s">
        <v>147</v>
      </c>
      <c r="D23" s="800">
        <f>115+140</f>
        <v>255</v>
      </c>
      <c r="E23" s="800">
        <f>31+91</f>
        <v>122</v>
      </c>
      <c r="F23" s="824">
        <f>(D23-E23)/D23*100%+100%</f>
        <v>1.5215686274509803</v>
      </c>
      <c r="G23" s="703" t="s">
        <v>590</v>
      </c>
    </row>
    <row r="24" spans="1:9" s="162" customFormat="1" ht="51" x14ac:dyDescent="0.25">
      <c r="A24" s="958"/>
      <c r="B24" s="967"/>
      <c r="C24" s="825" t="s">
        <v>299</v>
      </c>
      <c r="D24" s="838">
        <f>3500+5500</f>
        <v>9000</v>
      </c>
      <c r="E24" s="180">
        <f>6949+6431</f>
        <v>13380</v>
      </c>
      <c r="F24" s="824">
        <f>E24/D24</f>
        <v>1.4866666666666666</v>
      </c>
      <c r="G24" s="161" t="s">
        <v>591</v>
      </c>
    </row>
    <row r="25" spans="1:9" s="162" customFormat="1" ht="63.75" x14ac:dyDescent="0.25">
      <c r="A25" s="958"/>
      <c r="B25" s="967"/>
      <c r="C25" s="825" t="s">
        <v>291</v>
      </c>
      <c r="D25" s="180" t="s">
        <v>29</v>
      </c>
      <c r="E25" s="180" t="s">
        <v>29</v>
      </c>
      <c r="F25" s="180" t="s">
        <v>29</v>
      </c>
      <c r="G25" s="826" t="s">
        <v>374</v>
      </c>
    </row>
    <row r="26" spans="1:9" s="162" customFormat="1" ht="63.75" x14ac:dyDescent="0.25">
      <c r="A26" s="959"/>
      <c r="B26" s="968"/>
      <c r="C26" s="700" t="s">
        <v>292</v>
      </c>
      <c r="D26" s="180" t="s">
        <v>29</v>
      </c>
      <c r="E26" s="180" t="s">
        <v>29</v>
      </c>
      <c r="F26" s="180" t="s">
        <v>29</v>
      </c>
      <c r="G26" s="826" t="s">
        <v>374</v>
      </c>
    </row>
    <row r="27" spans="1:9" ht="143.25" hidden="1" customHeight="1" x14ac:dyDescent="0.25">
      <c r="A27" s="155"/>
      <c r="B27" s="154"/>
      <c r="C27" s="240"/>
      <c r="D27" s="233"/>
      <c r="E27" s="233"/>
      <c r="F27" s="233"/>
      <c r="G27" s="778"/>
    </row>
    <row r="28" spans="1:9" x14ac:dyDescent="0.25">
      <c r="A28" s="940" t="s">
        <v>175</v>
      </c>
      <c r="B28" s="941"/>
      <c r="C28" s="942"/>
      <c r="D28" s="942"/>
      <c r="E28" s="942"/>
      <c r="F28" s="942"/>
      <c r="G28" s="943"/>
    </row>
    <row r="29" spans="1:9" s="249" customFormat="1" ht="133.5" customHeight="1" x14ac:dyDescent="0.25">
      <c r="A29" s="969" t="s">
        <v>70</v>
      </c>
      <c r="B29" s="966" t="s">
        <v>425</v>
      </c>
      <c r="C29" s="827" t="s">
        <v>420</v>
      </c>
      <c r="D29" s="840">
        <f>20+200</f>
        <v>220</v>
      </c>
      <c r="E29" s="839">
        <f>147+437</f>
        <v>584</v>
      </c>
      <c r="F29" s="824">
        <f>E29/D29</f>
        <v>2.6545454545454548</v>
      </c>
      <c r="G29" s="161" t="s">
        <v>592</v>
      </c>
    </row>
    <row r="30" spans="1:9" s="249" customFormat="1" ht="95.25" customHeight="1" x14ac:dyDescent="0.25">
      <c r="A30" s="970"/>
      <c r="B30" s="967"/>
      <c r="C30" s="827" t="s">
        <v>421</v>
      </c>
      <c r="D30" s="185">
        <v>15</v>
      </c>
      <c r="E30" s="832">
        <v>24</v>
      </c>
      <c r="F30" s="824">
        <f>E30/D30</f>
        <v>1.6</v>
      </c>
      <c r="G30" s="161" t="s">
        <v>593</v>
      </c>
      <c r="H30" s="828"/>
    </row>
    <row r="31" spans="1:9" s="249" customFormat="1" ht="118.5" customHeight="1" x14ac:dyDescent="0.25">
      <c r="A31" s="971"/>
      <c r="B31" s="968"/>
      <c r="C31" s="827" t="s">
        <v>422</v>
      </c>
      <c r="D31" s="185">
        <v>18.75</v>
      </c>
      <c r="E31" s="832"/>
      <c r="F31" s="824"/>
      <c r="G31" s="172"/>
      <c r="H31" s="828" t="s">
        <v>537</v>
      </c>
    </row>
    <row r="32" spans="1:9" hidden="1" x14ac:dyDescent="0.25">
      <c r="A32" s="234"/>
      <c r="B32" s="20"/>
      <c r="C32" s="238"/>
      <c r="D32" s="239"/>
      <c r="E32" s="239"/>
      <c r="F32" s="239"/>
      <c r="G32" s="238"/>
    </row>
    <row r="33" spans="1:7" x14ac:dyDescent="0.25">
      <c r="A33" s="940" t="s">
        <v>48</v>
      </c>
      <c r="B33" s="941"/>
      <c r="C33" s="941"/>
      <c r="D33" s="941"/>
      <c r="E33" s="941"/>
      <c r="F33" s="941"/>
      <c r="G33" s="944"/>
    </row>
    <row r="34" spans="1:7" ht="76.5" x14ac:dyDescent="0.25">
      <c r="A34" s="972" t="s">
        <v>108</v>
      </c>
      <c r="B34" s="974" t="s">
        <v>426</v>
      </c>
      <c r="C34" s="236" t="s">
        <v>154</v>
      </c>
      <c r="D34" s="841">
        <v>73</v>
      </c>
      <c r="E34" s="841">
        <v>78</v>
      </c>
      <c r="F34" s="842">
        <f>E34/D34</f>
        <v>1.0684931506849316</v>
      </c>
      <c r="G34" s="104" t="s">
        <v>538</v>
      </c>
    </row>
    <row r="35" spans="1:7" ht="76.5" x14ac:dyDescent="0.25">
      <c r="A35" s="973"/>
      <c r="B35" s="975"/>
      <c r="C35" s="75" t="s">
        <v>153</v>
      </c>
      <c r="D35" s="843">
        <v>84</v>
      </c>
      <c r="E35" s="843">
        <v>84</v>
      </c>
      <c r="F35" s="842">
        <f t="shared" ref="F35" si="2">E35/D35</f>
        <v>1</v>
      </c>
      <c r="G35" s="104" t="s">
        <v>428</v>
      </c>
    </row>
    <row r="36" spans="1:7" ht="119.25" customHeight="1" x14ac:dyDescent="0.25">
      <c r="A36" s="960" t="s">
        <v>105</v>
      </c>
      <c r="B36" s="963" t="s">
        <v>427</v>
      </c>
      <c r="C36" s="75" t="str">
        <f>'план-график'!B163</f>
        <v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v>
      </c>
      <c r="D36" s="140">
        <f>43.34</f>
        <v>43.34</v>
      </c>
      <c r="E36" s="140">
        <f>43.34</f>
        <v>43.34</v>
      </c>
      <c r="F36" s="241">
        <f t="shared" ref="F36:F39" si="3">(D36-E36)/D36*100%+100%</f>
        <v>1</v>
      </c>
      <c r="G36" s="662" t="s">
        <v>429</v>
      </c>
    </row>
    <row r="37" spans="1:7" ht="82.5" customHeight="1" x14ac:dyDescent="0.25">
      <c r="A37" s="961"/>
      <c r="B37" s="964"/>
      <c r="C37" s="75" t="str">
        <f>'план-график'!B164</f>
        <v>Удельный расход тепловой энергии на 1 кв. метр общей площади помещений, занимаемых подведомственными учреждениями, Гкал / кв. м</v>
      </c>
      <c r="D37" s="141">
        <f>0.115</f>
        <v>0.115</v>
      </c>
      <c r="E37" s="141">
        <f>0.115</f>
        <v>0.115</v>
      </c>
      <c r="F37" s="241">
        <f t="shared" si="3"/>
        <v>1</v>
      </c>
      <c r="G37" s="662" t="s">
        <v>429</v>
      </c>
    </row>
    <row r="38" spans="1:7" ht="92.25" customHeight="1" x14ac:dyDescent="0.25">
      <c r="A38" s="961"/>
      <c r="B38" s="964"/>
      <c r="C38" s="75" t="str">
        <f>'план-график'!B165</f>
        <v>Удельный расход природного газа на 1 кв. метр общей площади помещений, занимаемых подведомственны-ми учреждениями, тыс. куб. м /кв. м</v>
      </c>
      <c r="D38" s="140">
        <f>9.24</f>
        <v>9.24</v>
      </c>
      <c r="E38" s="140">
        <f>9.24</f>
        <v>9.24</v>
      </c>
      <c r="F38" s="241">
        <f t="shared" si="3"/>
        <v>1</v>
      </c>
      <c r="G38" s="662" t="s">
        <v>430</v>
      </c>
    </row>
    <row r="39" spans="1:7" ht="83.25" customHeight="1" x14ac:dyDescent="0.25">
      <c r="A39" s="962"/>
      <c r="B39" s="965"/>
      <c r="C39" s="75" t="str">
        <f>'план-график'!B166</f>
        <v>Удельный расход воды на 1 кв. метр общей площади помещений, занимаемых подведомственными учреждениями, тыс. куб. м /кв. м</v>
      </c>
      <c r="D39" s="141">
        <f>0.837</f>
        <v>0.83699999999999997</v>
      </c>
      <c r="E39" s="141">
        <f>0.837</f>
        <v>0.83699999999999997</v>
      </c>
      <c r="F39" s="241">
        <f t="shared" si="3"/>
        <v>1</v>
      </c>
      <c r="G39" s="662" t="s">
        <v>430</v>
      </c>
    </row>
    <row r="41" spans="1:7" ht="15.75" x14ac:dyDescent="0.25">
      <c r="A41" s="939"/>
      <c r="B41" s="939"/>
      <c r="C41" s="939"/>
      <c r="D41" s="939"/>
      <c r="E41" s="939"/>
      <c r="F41" s="939"/>
      <c r="G41" s="939"/>
    </row>
  </sheetData>
  <mergeCells count="21">
    <mergeCell ref="B19:B26"/>
    <mergeCell ref="A29:A31"/>
    <mergeCell ref="B29:B31"/>
    <mergeCell ref="A34:A35"/>
    <mergeCell ref="B34:B35"/>
    <mergeCell ref="A2:G2"/>
    <mergeCell ref="A3:G3"/>
    <mergeCell ref="A7:G7"/>
    <mergeCell ref="A11:G11"/>
    <mergeCell ref="A41:G41"/>
    <mergeCell ref="A14:G14"/>
    <mergeCell ref="A18:G18"/>
    <mergeCell ref="A28:G28"/>
    <mergeCell ref="A33:G33"/>
    <mergeCell ref="A8:A10"/>
    <mergeCell ref="B8:B10"/>
    <mergeCell ref="A15:A17"/>
    <mergeCell ref="B15:B17"/>
    <mergeCell ref="A19:A26"/>
    <mergeCell ref="A36:A39"/>
    <mergeCell ref="B36:B39"/>
  </mergeCells>
  <phoneticPr fontId="29" type="noConversion"/>
  <pageMargins left="0.55118110236220474" right="0.23622047244094491" top="0.19685039370078741" bottom="0.15748031496062992" header="0.19685039370078741" footer="0.15748031496062992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view="pageBreakPreview" topLeftCell="A55" zoomScale="70" zoomScaleNormal="75" zoomScaleSheetLayoutView="70" workbookViewId="0">
      <selection activeCell="P59" sqref="P59"/>
    </sheetView>
  </sheetViews>
  <sheetFormatPr defaultRowHeight="15" x14ac:dyDescent="0.25"/>
  <cols>
    <col min="1" max="1" width="9.28515625" style="162" bestFit="1" customWidth="1"/>
    <col min="2" max="2" width="40.5703125" style="162" customWidth="1"/>
    <col min="3" max="3" width="15" style="162" customWidth="1"/>
    <col min="4" max="4" width="9.28515625" style="162" bestFit="1" customWidth="1"/>
    <col min="5" max="5" width="8.85546875" style="162" customWidth="1"/>
    <col min="6" max="6" width="7.7109375" style="162" customWidth="1"/>
    <col min="7" max="7" width="8.140625" style="162" customWidth="1"/>
    <col min="8" max="8" width="17.5703125" style="162" customWidth="1"/>
    <col min="9" max="9" width="17" style="162" customWidth="1"/>
    <col min="10" max="10" width="39" style="162" customWidth="1"/>
    <col min="11" max="11" width="43.5703125" style="793" customWidth="1"/>
    <col min="12" max="12" width="25.28515625" style="162" customWidth="1"/>
    <col min="13" max="13" width="22.42578125" style="803" customWidth="1"/>
    <col min="14" max="14" width="34.85546875" style="162" customWidth="1"/>
    <col min="15" max="15" width="14.42578125" style="162" customWidth="1"/>
    <col min="16" max="16384" width="9.140625" style="162"/>
  </cols>
  <sheetData>
    <row r="1" spans="1:15" x14ac:dyDescent="0.25">
      <c r="K1" s="845" t="s">
        <v>5</v>
      </c>
    </row>
    <row r="2" spans="1:15" ht="20.25" x14ac:dyDescent="0.25">
      <c r="A2" s="978" t="s">
        <v>442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242"/>
      <c r="M2" s="804"/>
    </row>
    <row r="3" spans="1:15" ht="37.5" customHeight="1" x14ac:dyDescent="0.25">
      <c r="A3" s="924"/>
      <c r="B3" s="924" t="s">
        <v>176</v>
      </c>
      <c r="C3" s="924" t="s">
        <v>177</v>
      </c>
      <c r="D3" s="926" t="s">
        <v>178</v>
      </c>
      <c r="E3" s="928"/>
      <c r="F3" s="926" t="s">
        <v>179</v>
      </c>
      <c r="G3" s="928"/>
      <c r="H3" s="926" t="s">
        <v>56</v>
      </c>
      <c r="I3" s="928"/>
      <c r="J3" s="926" t="s">
        <v>180</v>
      </c>
      <c r="K3" s="928"/>
      <c r="L3" s="210" t="s">
        <v>63</v>
      </c>
      <c r="M3" s="805"/>
    </row>
    <row r="4" spans="1:15" ht="23.25" customHeight="1" x14ac:dyDescent="0.25">
      <c r="A4" s="925"/>
      <c r="B4" s="925"/>
      <c r="C4" s="925"/>
      <c r="D4" s="172" t="s">
        <v>181</v>
      </c>
      <c r="E4" s="172" t="s">
        <v>182</v>
      </c>
      <c r="F4" s="172" t="s">
        <v>181</v>
      </c>
      <c r="G4" s="172" t="s">
        <v>182</v>
      </c>
      <c r="H4" s="172" t="s">
        <v>183</v>
      </c>
      <c r="I4" s="172" t="s">
        <v>184</v>
      </c>
      <c r="J4" s="172" t="s">
        <v>185</v>
      </c>
      <c r="K4" s="172" t="s">
        <v>186</v>
      </c>
      <c r="L4" s="210"/>
      <c r="M4" s="805"/>
    </row>
    <row r="5" spans="1:15" x14ac:dyDescent="0.25">
      <c r="A5" s="853">
        <v>1</v>
      </c>
      <c r="B5" s="172">
        <v>2</v>
      </c>
      <c r="C5" s="852">
        <v>3</v>
      </c>
      <c r="D5" s="172">
        <v>4</v>
      </c>
      <c r="E5" s="172">
        <v>5</v>
      </c>
      <c r="F5" s="172">
        <v>6</v>
      </c>
      <c r="G5" s="172">
        <v>7</v>
      </c>
      <c r="H5" s="172">
        <v>8</v>
      </c>
      <c r="I5" s="172">
        <v>9</v>
      </c>
      <c r="J5" s="172">
        <v>10</v>
      </c>
      <c r="K5" s="172">
        <v>11</v>
      </c>
      <c r="L5" s="210">
        <v>12</v>
      </c>
      <c r="M5" s="805"/>
    </row>
    <row r="6" spans="1:15" ht="26.25" thickBot="1" x14ac:dyDescent="0.3">
      <c r="A6" s="853"/>
      <c r="B6" s="243" t="s">
        <v>164</v>
      </c>
      <c r="C6" s="852"/>
      <c r="D6" s="172"/>
      <c r="E6" s="172"/>
      <c r="F6" s="172"/>
      <c r="G6" s="172"/>
      <c r="H6" s="630">
        <f>H7+H55+H58</f>
        <v>3480926.703999999</v>
      </c>
      <c r="I6" s="188">
        <f>I7+I55+I58</f>
        <v>3452450.0804600003</v>
      </c>
      <c r="J6" s="172"/>
      <c r="K6" s="172"/>
      <c r="L6" s="210"/>
      <c r="M6" s="806"/>
    </row>
    <row r="7" spans="1:15" ht="25.5" customHeight="1" x14ac:dyDescent="0.25">
      <c r="A7" s="244" t="s">
        <v>70</v>
      </c>
      <c r="B7" s="163" t="s">
        <v>69</v>
      </c>
      <c r="C7" s="164"/>
      <c r="D7" s="172"/>
      <c r="E7" s="172"/>
      <c r="F7" s="172"/>
      <c r="G7" s="245"/>
      <c r="H7" s="631">
        <f>SUM(H8:H54)</f>
        <v>3470486.2539999988</v>
      </c>
      <c r="I7" s="246">
        <f>SUM(I8:I54)</f>
        <v>3442885.2229400002</v>
      </c>
      <c r="J7" s="247"/>
      <c r="K7" s="161"/>
      <c r="L7" s="191"/>
      <c r="M7" s="807"/>
      <c r="N7" s="248"/>
      <c r="O7" s="248"/>
    </row>
    <row r="8" spans="1:15" ht="222" customHeight="1" x14ac:dyDescent="0.25">
      <c r="A8" s="165" t="s">
        <v>187</v>
      </c>
      <c r="B8" s="166" t="s">
        <v>195</v>
      </c>
      <c r="C8" s="668" t="s">
        <v>310</v>
      </c>
      <c r="D8" s="172" t="s">
        <v>280</v>
      </c>
      <c r="E8" s="172" t="s">
        <v>281</v>
      </c>
      <c r="F8" s="172" t="s">
        <v>280</v>
      </c>
      <c r="G8" s="172" t="s">
        <v>281</v>
      </c>
      <c r="H8" s="159">
        <f>160810.2+97348</f>
        <v>258158.2</v>
      </c>
      <c r="I8" s="160">
        <f>финансир!M10</f>
        <v>257482.30158</v>
      </c>
      <c r="J8" s="167" t="s">
        <v>444</v>
      </c>
      <c r="K8" s="167" t="s">
        <v>539</v>
      </c>
      <c r="L8" s="191"/>
      <c r="M8" s="808">
        <f>I8/H8</f>
        <v>0.99738184407855335</v>
      </c>
    </row>
    <row r="9" spans="1:15" ht="137.25" customHeight="1" x14ac:dyDescent="0.25">
      <c r="A9" s="157" t="s">
        <v>188</v>
      </c>
      <c r="B9" s="158" t="s">
        <v>196</v>
      </c>
      <c r="C9" s="168" t="s">
        <v>311</v>
      </c>
      <c r="D9" s="172" t="s">
        <v>280</v>
      </c>
      <c r="E9" s="172" t="s">
        <v>281</v>
      </c>
      <c r="F9" s="172" t="s">
        <v>280</v>
      </c>
      <c r="G9" s="172" t="s">
        <v>281</v>
      </c>
      <c r="H9" s="184">
        <f>48353.375+32786.525</f>
        <v>81139.899999999994</v>
      </c>
      <c r="I9" s="160">
        <f>финансир!M11</f>
        <v>80178.856400000004</v>
      </c>
      <c r="J9" s="167" t="s">
        <v>445</v>
      </c>
      <c r="K9" s="167" t="s">
        <v>540</v>
      </c>
      <c r="L9" s="191"/>
      <c r="M9" s="808">
        <f t="shared" ref="M9:M12" si="0">I9/H9</f>
        <v>0.98815572116800743</v>
      </c>
    </row>
    <row r="10" spans="1:15" ht="210.75" customHeight="1" x14ac:dyDescent="0.25">
      <c r="A10" s="157" t="s">
        <v>189</v>
      </c>
      <c r="B10" s="158" t="s">
        <v>7</v>
      </c>
      <c r="C10" s="669" t="s">
        <v>312</v>
      </c>
      <c r="D10" s="172" t="s">
        <v>280</v>
      </c>
      <c r="E10" s="172" t="s">
        <v>281</v>
      </c>
      <c r="F10" s="172" t="s">
        <v>280</v>
      </c>
      <c r="G10" s="172" t="s">
        <v>281</v>
      </c>
      <c r="H10" s="184">
        <f>38634.15+36066.6</f>
        <v>74700.75</v>
      </c>
      <c r="I10" s="160">
        <f>финансир!M12</f>
        <v>71848.055099999998</v>
      </c>
      <c r="J10" s="167" t="s">
        <v>446</v>
      </c>
      <c r="K10" s="167" t="s">
        <v>569</v>
      </c>
      <c r="L10" s="670"/>
      <c r="M10" s="808">
        <f t="shared" si="0"/>
        <v>0.96181169666971211</v>
      </c>
    </row>
    <row r="11" spans="1:15" ht="135.75" customHeight="1" x14ac:dyDescent="0.25">
      <c r="A11" s="157" t="s">
        <v>190</v>
      </c>
      <c r="B11" s="158" t="s">
        <v>197</v>
      </c>
      <c r="C11" s="668" t="s">
        <v>311</v>
      </c>
      <c r="D11" s="172" t="s">
        <v>280</v>
      </c>
      <c r="E11" s="172" t="s">
        <v>281</v>
      </c>
      <c r="F11" s="172" t="s">
        <v>280</v>
      </c>
      <c r="G11" s="172" t="s">
        <v>281</v>
      </c>
      <c r="H11" s="159">
        <f>4046+9819</f>
        <v>13865</v>
      </c>
      <c r="I11" s="160">
        <f>финансир!M13</f>
        <v>12791.874460000001</v>
      </c>
      <c r="J11" s="167" t="s">
        <v>447</v>
      </c>
      <c r="K11" s="858" t="s">
        <v>570</v>
      </c>
      <c r="L11" s="191"/>
      <c r="M11" s="808">
        <f>I11/H11</f>
        <v>0.92260183627839887</v>
      </c>
    </row>
    <row r="12" spans="1:15" ht="292.5" customHeight="1" x14ac:dyDescent="0.25">
      <c r="A12" s="157" t="s">
        <v>191</v>
      </c>
      <c r="B12" s="158" t="s">
        <v>8</v>
      </c>
      <c r="C12" s="168" t="s">
        <v>313</v>
      </c>
      <c r="D12" s="172" t="s">
        <v>280</v>
      </c>
      <c r="E12" s="172" t="s">
        <v>281</v>
      </c>
      <c r="F12" s="172" t="s">
        <v>280</v>
      </c>
      <c r="G12" s="172" t="s">
        <v>281</v>
      </c>
      <c r="H12" s="159">
        <f>1800+13181</f>
        <v>14981</v>
      </c>
      <c r="I12" s="160">
        <f>финансир!M14</f>
        <v>14981</v>
      </c>
      <c r="J12" s="167" t="s">
        <v>448</v>
      </c>
      <c r="K12" s="167" t="s">
        <v>571</v>
      </c>
      <c r="L12" s="161"/>
      <c r="M12" s="808">
        <f t="shared" si="0"/>
        <v>1</v>
      </c>
    </row>
    <row r="13" spans="1:15" ht="150" customHeight="1" x14ac:dyDescent="0.25">
      <c r="A13" s="157" t="s">
        <v>17</v>
      </c>
      <c r="B13" s="158" t="s">
        <v>198</v>
      </c>
      <c r="C13" s="168" t="s">
        <v>314</v>
      </c>
      <c r="D13" s="172" t="s">
        <v>280</v>
      </c>
      <c r="E13" s="172" t="s">
        <v>283</v>
      </c>
      <c r="F13" s="172" t="s">
        <v>280</v>
      </c>
      <c r="G13" s="172" t="s">
        <v>283</v>
      </c>
      <c r="H13" s="184">
        <f>486726.25+478070.75</f>
        <v>964797</v>
      </c>
      <c r="I13" s="160">
        <f>финансир!M15</f>
        <v>961516.78859000001</v>
      </c>
      <c r="J13" s="167" t="s">
        <v>449</v>
      </c>
      <c r="K13" s="167" t="s">
        <v>541</v>
      </c>
      <c r="L13" s="191"/>
      <c r="M13" s="808">
        <f>I13/H13</f>
        <v>0.99660010198000204</v>
      </c>
    </row>
    <row r="14" spans="1:15" ht="147" customHeight="1" x14ac:dyDescent="0.25">
      <c r="A14" s="157" t="s">
        <v>18</v>
      </c>
      <c r="B14" s="158" t="s">
        <v>199</v>
      </c>
      <c r="C14" s="168" t="s">
        <v>314</v>
      </c>
      <c r="D14" s="172" t="s">
        <v>280</v>
      </c>
      <c r="E14" s="172" t="s">
        <v>283</v>
      </c>
      <c r="F14" s="172" t="s">
        <v>280</v>
      </c>
      <c r="G14" s="172" t="s">
        <v>283</v>
      </c>
      <c r="H14" s="184">
        <f>748.35+678.95</f>
        <v>1427.3000000000002</v>
      </c>
      <c r="I14" s="160">
        <f>финансир!M16</f>
        <v>1338.65563</v>
      </c>
      <c r="J14" s="167" t="s">
        <v>450</v>
      </c>
      <c r="K14" s="167" t="s">
        <v>542</v>
      </c>
      <c r="L14" s="191"/>
      <c r="M14" s="808">
        <f>I14/H14</f>
        <v>0.93789366636306304</v>
      </c>
    </row>
    <row r="15" spans="1:15" ht="152.25" customHeight="1" x14ac:dyDescent="0.25">
      <c r="A15" s="157" t="s">
        <v>64</v>
      </c>
      <c r="B15" s="158" t="s">
        <v>200</v>
      </c>
      <c r="C15" s="168" t="s">
        <v>314</v>
      </c>
      <c r="D15" s="172" t="s">
        <v>280</v>
      </c>
      <c r="E15" s="172" t="s">
        <v>281</v>
      </c>
      <c r="F15" s="172" t="s">
        <v>280</v>
      </c>
      <c r="G15" s="172" t="s">
        <v>281</v>
      </c>
      <c r="H15" s="159">
        <f>8548.8+8781.9</f>
        <v>17330.699999999997</v>
      </c>
      <c r="I15" s="160">
        <f>финансир!M17</f>
        <v>16816.676530000001</v>
      </c>
      <c r="J15" s="167" t="s">
        <v>451</v>
      </c>
      <c r="K15" s="167" t="s">
        <v>543</v>
      </c>
      <c r="L15" s="191"/>
      <c r="M15" s="808">
        <f t="shared" ref="M15:M16" si="1">I15/H15</f>
        <v>0.9703402938138681</v>
      </c>
    </row>
    <row r="16" spans="1:15" ht="152.25" customHeight="1" x14ac:dyDescent="0.25">
      <c r="A16" s="157" t="s">
        <v>275</v>
      </c>
      <c r="B16" s="158" t="s">
        <v>9</v>
      </c>
      <c r="C16" s="168" t="s">
        <v>314</v>
      </c>
      <c r="D16" s="172" t="s">
        <v>280</v>
      </c>
      <c r="E16" s="172" t="s">
        <v>283</v>
      </c>
      <c r="F16" s="172" t="s">
        <v>280</v>
      </c>
      <c r="G16" s="172" t="s">
        <v>283</v>
      </c>
      <c r="H16" s="159">
        <f>462352.3+449127.7</f>
        <v>911480</v>
      </c>
      <c r="I16" s="160">
        <f>финансир!M18</f>
        <v>896655.35265999998</v>
      </c>
      <c r="J16" s="167" t="s">
        <v>331</v>
      </c>
      <c r="K16" s="167" t="s">
        <v>544</v>
      </c>
      <c r="L16" s="191"/>
      <c r="M16" s="808">
        <f t="shared" si="1"/>
        <v>0.98373563068855041</v>
      </c>
    </row>
    <row r="17" spans="1:13" ht="147" customHeight="1" x14ac:dyDescent="0.25">
      <c r="A17" s="157" t="s">
        <v>278</v>
      </c>
      <c r="B17" s="158" t="s">
        <v>201</v>
      </c>
      <c r="C17" s="168" t="s">
        <v>311</v>
      </c>
      <c r="D17" s="172" t="s">
        <v>280</v>
      </c>
      <c r="E17" s="172" t="s">
        <v>283</v>
      </c>
      <c r="F17" s="172" t="s">
        <v>280</v>
      </c>
      <c r="G17" s="172" t="s">
        <v>283</v>
      </c>
      <c r="H17" s="629">
        <f>6620.553+4669.055</f>
        <v>11289.608</v>
      </c>
      <c r="I17" s="160">
        <f>финансир!M19</f>
        <v>10906.06213</v>
      </c>
      <c r="J17" s="167" t="s">
        <v>332</v>
      </c>
      <c r="K17" s="169" t="s">
        <v>573</v>
      </c>
      <c r="L17" s="191"/>
      <c r="M17" s="808">
        <f>I17/H17</f>
        <v>0.96602664414920336</v>
      </c>
    </row>
    <row r="18" spans="1:13" ht="145.5" customHeight="1" x14ac:dyDescent="0.25">
      <c r="A18" s="157" t="s">
        <v>4</v>
      </c>
      <c r="B18" s="158" t="s">
        <v>202</v>
      </c>
      <c r="C18" s="668" t="s">
        <v>311</v>
      </c>
      <c r="D18" s="172" t="s">
        <v>280</v>
      </c>
      <c r="E18" s="172" t="s">
        <v>281</v>
      </c>
      <c r="F18" s="172" t="s">
        <v>280</v>
      </c>
      <c r="G18" s="172" t="s">
        <v>281</v>
      </c>
      <c r="H18" s="159">
        <f>38907+39250.94</f>
        <v>78157.94</v>
      </c>
      <c r="I18" s="160">
        <f>финансир!M20</f>
        <v>78101.697140000004</v>
      </c>
      <c r="J18" s="167" t="s">
        <v>452</v>
      </c>
      <c r="K18" s="169" t="s">
        <v>574</v>
      </c>
      <c r="L18" s="191"/>
      <c r="M18" s="808">
        <f t="shared" ref="M18:M19" si="2">I18/H18</f>
        <v>0.99928039480057951</v>
      </c>
    </row>
    <row r="19" spans="1:13" ht="150" customHeight="1" x14ac:dyDescent="0.25">
      <c r="A19" s="157" t="s">
        <v>71</v>
      </c>
      <c r="B19" s="158" t="s">
        <v>203</v>
      </c>
      <c r="C19" s="170" t="s">
        <v>314</v>
      </c>
      <c r="D19" s="172" t="s">
        <v>280</v>
      </c>
      <c r="E19" s="172" t="s">
        <v>283</v>
      </c>
      <c r="F19" s="172" t="s">
        <v>280</v>
      </c>
      <c r="G19" s="172" t="s">
        <v>283</v>
      </c>
      <c r="H19" s="159">
        <f>2202.7+1872.932</f>
        <v>4075.6319999999996</v>
      </c>
      <c r="I19" s="160">
        <f>финансир!M21</f>
        <v>4059.4119900000001</v>
      </c>
      <c r="J19" s="167" t="s">
        <v>333</v>
      </c>
      <c r="K19" s="167" t="s">
        <v>545</v>
      </c>
      <c r="L19" s="161"/>
      <c r="M19" s="808">
        <f t="shared" si="2"/>
        <v>0.99602024667585309</v>
      </c>
    </row>
    <row r="20" spans="1:13" ht="198.75" customHeight="1" x14ac:dyDescent="0.25">
      <c r="A20" s="157" t="s">
        <v>72</v>
      </c>
      <c r="B20" s="158" t="s">
        <v>204</v>
      </c>
      <c r="C20" s="669" t="s">
        <v>314</v>
      </c>
      <c r="D20" s="172" t="s">
        <v>280</v>
      </c>
      <c r="E20" s="172" t="s">
        <v>283</v>
      </c>
      <c r="F20" s="172" t="s">
        <v>280</v>
      </c>
      <c r="G20" s="172" t="s">
        <v>283</v>
      </c>
      <c r="H20" s="629">
        <f>31.979</f>
        <v>31.978999999999999</v>
      </c>
      <c r="I20" s="160">
        <f>финансир!M22</f>
        <v>0</v>
      </c>
      <c r="J20" s="167" t="s">
        <v>334</v>
      </c>
      <c r="K20" s="167" t="s">
        <v>152</v>
      </c>
      <c r="L20" s="191"/>
      <c r="M20" s="808">
        <f>I20/H20</f>
        <v>0</v>
      </c>
    </row>
    <row r="21" spans="1:13" ht="137.25" customHeight="1" x14ac:dyDescent="0.25">
      <c r="A21" s="157" t="s">
        <v>73</v>
      </c>
      <c r="B21" s="158" t="s">
        <v>205</v>
      </c>
      <c r="C21" s="168" t="s">
        <v>311</v>
      </c>
      <c r="D21" s="172" t="s">
        <v>280</v>
      </c>
      <c r="E21" s="172" t="s">
        <v>281</v>
      </c>
      <c r="F21" s="172" t="s">
        <v>280</v>
      </c>
      <c r="G21" s="172" t="s">
        <v>281</v>
      </c>
      <c r="H21" s="159">
        <f>121683.5+124709</f>
        <v>246392.5</v>
      </c>
      <c r="I21" s="160">
        <f>финансир!M23</f>
        <v>246317.46896999999</v>
      </c>
      <c r="J21" s="167" t="s">
        <v>335</v>
      </c>
      <c r="K21" s="167" t="s">
        <v>546</v>
      </c>
      <c r="L21" s="191"/>
      <c r="M21" s="808">
        <f>I21/H21</f>
        <v>0.9996954816806517</v>
      </c>
    </row>
    <row r="22" spans="1:13" ht="147.75" customHeight="1" x14ac:dyDescent="0.25">
      <c r="A22" s="157" t="s">
        <v>74</v>
      </c>
      <c r="B22" s="158" t="s">
        <v>206</v>
      </c>
      <c r="C22" s="168" t="s">
        <v>314</v>
      </c>
      <c r="D22" s="172" t="s">
        <v>280</v>
      </c>
      <c r="E22" s="172" t="s">
        <v>281</v>
      </c>
      <c r="F22" s="172" t="s">
        <v>280</v>
      </c>
      <c r="G22" s="172" t="s">
        <v>281</v>
      </c>
      <c r="H22" s="159">
        <f>8.8+3045.15</f>
        <v>3053.9500000000003</v>
      </c>
      <c r="I22" s="160">
        <f>финансир!M24</f>
        <v>2789.72046</v>
      </c>
      <c r="J22" s="619" t="s">
        <v>453</v>
      </c>
      <c r="K22" s="167" t="s">
        <v>547</v>
      </c>
      <c r="L22" s="191"/>
      <c r="M22" s="808">
        <f t="shared" ref="M22:M80" si="3">I22/H22</f>
        <v>0.91347941518361453</v>
      </c>
    </row>
    <row r="23" spans="1:13" ht="103.5" customHeight="1" x14ac:dyDescent="0.25">
      <c r="A23" s="157" t="s">
        <v>75</v>
      </c>
      <c r="B23" s="158" t="s">
        <v>207</v>
      </c>
      <c r="C23" s="170" t="s">
        <v>315</v>
      </c>
      <c r="D23" s="172" t="s">
        <v>280</v>
      </c>
      <c r="E23" s="172" t="s">
        <v>281</v>
      </c>
      <c r="F23" s="172" t="s">
        <v>280</v>
      </c>
      <c r="G23" s="172" t="s">
        <v>281</v>
      </c>
      <c r="H23" s="159">
        <f>20+30</f>
        <v>50</v>
      </c>
      <c r="I23" s="160">
        <f>финансир!M25</f>
        <v>37</v>
      </c>
      <c r="J23" s="167" t="s">
        <v>454</v>
      </c>
      <c r="K23" s="167" t="s">
        <v>534</v>
      </c>
      <c r="L23" s="191"/>
      <c r="M23" s="808">
        <f t="shared" si="3"/>
        <v>0.74</v>
      </c>
    </row>
    <row r="24" spans="1:13" ht="150" customHeight="1" x14ac:dyDescent="0.25">
      <c r="A24" s="157" t="s">
        <v>76</v>
      </c>
      <c r="B24" s="158" t="s">
        <v>208</v>
      </c>
      <c r="C24" s="170" t="s">
        <v>314</v>
      </c>
      <c r="D24" s="172" t="s">
        <v>280</v>
      </c>
      <c r="E24" s="172" t="s">
        <v>281</v>
      </c>
      <c r="F24" s="172" t="s">
        <v>280</v>
      </c>
      <c r="G24" s="172" t="s">
        <v>281</v>
      </c>
      <c r="H24" s="184">
        <f>153.15+153.35</f>
        <v>306.5</v>
      </c>
      <c r="I24" s="160">
        <f>финансир!M26</f>
        <v>306.05158</v>
      </c>
      <c r="J24" s="167" t="s">
        <v>336</v>
      </c>
      <c r="K24" s="167" t="s">
        <v>548</v>
      </c>
      <c r="L24" s="191"/>
      <c r="M24" s="808">
        <f t="shared" si="3"/>
        <v>0.99853696574225126</v>
      </c>
    </row>
    <row r="25" spans="1:13" ht="177.75" customHeight="1" x14ac:dyDescent="0.25">
      <c r="A25" s="157" t="s">
        <v>77</v>
      </c>
      <c r="B25" s="158" t="s">
        <v>10</v>
      </c>
      <c r="C25" s="168" t="s">
        <v>314</v>
      </c>
      <c r="D25" s="172" t="s">
        <v>280</v>
      </c>
      <c r="E25" s="172" t="s">
        <v>283</v>
      </c>
      <c r="F25" s="172" t="s">
        <v>280</v>
      </c>
      <c r="G25" s="172" t="s">
        <v>283</v>
      </c>
      <c r="H25" s="159">
        <f>730.8+719.95</f>
        <v>1450.75</v>
      </c>
      <c r="I25" s="160">
        <f>финансир!M27</f>
        <v>1442.1687099999999</v>
      </c>
      <c r="J25" s="167" t="s">
        <v>455</v>
      </c>
      <c r="K25" s="167" t="s">
        <v>549</v>
      </c>
      <c r="L25" s="191"/>
      <c r="M25" s="808">
        <f t="shared" si="3"/>
        <v>0.99408492848526619</v>
      </c>
    </row>
    <row r="26" spans="1:13" ht="150.75" customHeight="1" x14ac:dyDescent="0.25">
      <c r="A26" s="157" t="s">
        <v>78</v>
      </c>
      <c r="B26" s="158" t="s">
        <v>209</v>
      </c>
      <c r="C26" s="168" t="s">
        <v>314</v>
      </c>
      <c r="D26" s="172" t="s">
        <v>280</v>
      </c>
      <c r="E26" s="172" t="s">
        <v>283</v>
      </c>
      <c r="F26" s="172" t="s">
        <v>280</v>
      </c>
      <c r="G26" s="172" t="s">
        <v>283</v>
      </c>
      <c r="H26" s="159">
        <f>10248.958+6511.942</f>
        <v>16760.900000000001</v>
      </c>
      <c r="I26" s="160">
        <f>финансир!M28</f>
        <v>16697.96874</v>
      </c>
      <c r="J26" s="167" t="s">
        <v>337</v>
      </c>
      <c r="K26" s="167" t="s">
        <v>550</v>
      </c>
      <c r="L26" s="191"/>
      <c r="M26" s="808">
        <f t="shared" si="3"/>
        <v>0.99624535317315888</v>
      </c>
    </row>
    <row r="27" spans="1:13" ht="150" customHeight="1" x14ac:dyDescent="0.25">
      <c r="A27" s="157" t="s">
        <v>79</v>
      </c>
      <c r="B27" s="158" t="s">
        <v>210</v>
      </c>
      <c r="C27" s="168" t="s">
        <v>314</v>
      </c>
      <c r="D27" s="172" t="s">
        <v>280</v>
      </c>
      <c r="E27" s="172" t="s">
        <v>281</v>
      </c>
      <c r="F27" s="172" t="s">
        <v>280</v>
      </c>
      <c r="G27" s="172" t="s">
        <v>281</v>
      </c>
      <c r="H27" s="159">
        <f>477.25+691.5</f>
        <v>1168.75</v>
      </c>
      <c r="I27" s="160">
        <f>финансир!M29</f>
        <v>1159.8009</v>
      </c>
      <c r="J27" s="167" t="s">
        <v>338</v>
      </c>
      <c r="K27" s="167" t="s">
        <v>551</v>
      </c>
      <c r="L27" s="191"/>
      <c r="M27" s="808">
        <f t="shared" si="3"/>
        <v>0.99234301604278075</v>
      </c>
    </row>
    <row r="28" spans="1:13" ht="360" customHeight="1" x14ac:dyDescent="0.25">
      <c r="A28" s="891" t="s">
        <v>80</v>
      </c>
      <c r="B28" s="893" t="s">
        <v>167</v>
      </c>
      <c r="C28" s="671" t="s">
        <v>316</v>
      </c>
      <c r="D28" s="172" t="s">
        <v>280</v>
      </c>
      <c r="E28" s="172" t="s">
        <v>281</v>
      </c>
      <c r="F28" s="172" t="s">
        <v>280</v>
      </c>
      <c r="G28" s="172" t="s">
        <v>281</v>
      </c>
      <c r="H28" s="184">
        <f>135.64+1792.736</f>
        <v>1928.3760000000002</v>
      </c>
      <c r="I28" s="160">
        <f>финансир!M30</f>
        <v>830.60127999999997</v>
      </c>
      <c r="J28" s="164" t="s">
        <v>456</v>
      </c>
      <c r="K28" s="619" t="s">
        <v>585</v>
      </c>
      <c r="L28" s="192"/>
      <c r="M28" s="808">
        <f t="shared" si="3"/>
        <v>0.43072579206544775</v>
      </c>
    </row>
    <row r="29" spans="1:13" s="249" customFormat="1" ht="99" customHeight="1" x14ac:dyDescent="0.25">
      <c r="A29" s="892"/>
      <c r="B29" s="894"/>
      <c r="C29" s="796" t="s">
        <v>317</v>
      </c>
      <c r="D29" s="172" t="s">
        <v>282</v>
      </c>
      <c r="E29" s="172" t="s">
        <v>282</v>
      </c>
      <c r="F29" s="172" t="s">
        <v>282</v>
      </c>
      <c r="G29" s="172" t="s">
        <v>282</v>
      </c>
      <c r="H29" s="159">
        <v>0</v>
      </c>
      <c r="I29" s="160">
        <f>финансир!M31</f>
        <v>0</v>
      </c>
      <c r="J29" s="672"/>
      <c r="K29" s="859"/>
      <c r="L29" s="673" t="s">
        <v>508</v>
      </c>
      <c r="M29" s="808" t="e">
        <f t="shared" si="3"/>
        <v>#DIV/0!</v>
      </c>
    </row>
    <row r="30" spans="1:13" ht="147" customHeight="1" x14ac:dyDescent="0.25">
      <c r="A30" s="157" t="s">
        <v>81</v>
      </c>
      <c r="B30" s="158" t="s">
        <v>11</v>
      </c>
      <c r="C30" s="168" t="s">
        <v>314</v>
      </c>
      <c r="D30" s="172" t="s">
        <v>280</v>
      </c>
      <c r="E30" s="172" t="s">
        <v>281</v>
      </c>
      <c r="F30" s="172" t="s">
        <v>280</v>
      </c>
      <c r="G30" s="172" t="s">
        <v>281</v>
      </c>
      <c r="H30" s="159">
        <f>240*2</f>
        <v>480</v>
      </c>
      <c r="I30" s="160">
        <f>финансир!M32</f>
        <v>480</v>
      </c>
      <c r="J30" s="167" t="s">
        <v>339</v>
      </c>
      <c r="K30" s="619" t="s">
        <v>6</v>
      </c>
      <c r="L30" s="191"/>
      <c r="M30" s="808">
        <f t="shared" si="3"/>
        <v>1</v>
      </c>
    </row>
    <row r="31" spans="1:13" ht="148.5" customHeight="1" x14ac:dyDescent="0.25">
      <c r="A31" s="157" t="s">
        <v>82</v>
      </c>
      <c r="B31" s="158" t="s">
        <v>211</v>
      </c>
      <c r="C31" s="168" t="s">
        <v>314</v>
      </c>
      <c r="D31" s="172" t="s">
        <v>281</v>
      </c>
      <c r="E31" s="172" t="s">
        <v>281</v>
      </c>
      <c r="F31" s="172" t="s">
        <v>281</v>
      </c>
      <c r="G31" s="172" t="s">
        <v>281</v>
      </c>
      <c r="H31" s="159">
        <v>0</v>
      </c>
      <c r="I31" s="160">
        <f>финансир!M33</f>
        <v>0</v>
      </c>
      <c r="J31" s="180" t="s">
        <v>29</v>
      </c>
      <c r="K31" s="619" t="s">
        <v>505</v>
      </c>
      <c r="L31" s="191"/>
      <c r="M31" s="808" t="e">
        <f t="shared" si="3"/>
        <v>#DIV/0!</v>
      </c>
    </row>
    <row r="32" spans="1:13" ht="150.75" customHeight="1" x14ac:dyDescent="0.25">
      <c r="A32" s="157" t="s">
        <v>83</v>
      </c>
      <c r="B32" s="158" t="s">
        <v>212</v>
      </c>
      <c r="C32" s="168" t="s">
        <v>311</v>
      </c>
      <c r="D32" s="172" t="s">
        <v>280</v>
      </c>
      <c r="E32" s="172" t="s">
        <v>281</v>
      </c>
      <c r="F32" s="172" t="s">
        <v>280</v>
      </c>
      <c r="G32" s="172" t="s">
        <v>281</v>
      </c>
      <c r="H32" s="159">
        <f>4500+5125</f>
        <v>9625</v>
      </c>
      <c r="I32" s="160">
        <f>финансир!M34</f>
        <v>9625</v>
      </c>
      <c r="J32" s="167" t="s">
        <v>340</v>
      </c>
      <c r="K32" s="619" t="s">
        <v>579</v>
      </c>
      <c r="L32" s="161" t="s">
        <v>580</v>
      </c>
      <c r="M32" s="808">
        <f t="shared" si="3"/>
        <v>1</v>
      </c>
    </row>
    <row r="33" spans="1:13" ht="158.25" customHeight="1" x14ac:dyDescent="0.25">
      <c r="A33" s="157" t="s">
        <v>84</v>
      </c>
      <c r="B33" s="158" t="s">
        <v>213</v>
      </c>
      <c r="C33" s="168" t="s">
        <v>314</v>
      </c>
      <c r="D33" s="172" t="s">
        <v>280</v>
      </c>
      <c r="E33" s="172" t="s">
        <v>281</v>
      </c>
      <c r="F33" s="172" t="s">
        <v>280</v>
      </c>
      <c r="G33" s="172" t="s">
        <v>281</v>
      </c>
      <c r="H33" s="159">
        <f>3525.8+3078.6</f>
        <v>6604.4</v>
      </c>
      <c r="I33" s="160">
        <f>финансир!M35</f>
        <v>6537.1662800000004</v>
      </c>
      <c r="J33" s="167" t="s">
        <v>457</v>
      </c>
      <c r="K33" s="167" t="s">
        <v>552</v>
      </c>
      <c r="L33" s="191"/>
      <c r="M33" s="808">
        <f t="shared" si="3"/>
        <v>0.98981985948761442</v>
      </c>
    </row>
    <row r="34" spans="1:13" s="249" customFormat="1" ht="148.5" customHeight="1" x14ac:dyDescent="0.25">
      <c r="A34" s="157" t="s">
        <v>85</v>
      </c>
      <c r="B34" s="158" t="s">
        <v>214</v>
      </c>
      <c r="C34" s="168" t="s">
        <v>311</v>
      </c>
      <c r="D34" s="172" t="s">
        <v>280</v>
      </c>
      <c r="E34" s="172" t="s">
        <v>281</v>
      </c>
      <c r="F34" s="172" t="s">
        <v>280</v>
      </c>
      <c r="G34" s="172" t="s">
        <v>281</v>
      </c>
      <c r="H34" s="159">
        <f>4907.2+5995</f>
        <v>10902.2</v>
      </c>
      <c r="I34" s="160">
        <f>финансир!M36</f>
        <v>10690.835639999999</v>
      </c>
      <c r="J34" s="167" t="s">
        <v>458</v>
      </c>
      <c r="K34" s="619" t="s">
        <v>553</v>
      </c>
      <c r="L34" s="171" t="s">
        <v>303</v>
      </c>
      <c r="M34" s="808">
        <f t="shared" si="3"/>
        <v>0.98061268734750773</v>
      </c>
    </row>
    <row r="35" spans="1:13" ht="148.5" customHeight="1" x14ac:dyDescent="0.25">
      <c r="A35" s="157" t="s">
        <v>86</v>
      </c>
      <c r="B35" s="158" t="s">
        <v>215</v>
      </c>
      <c r="C35" s="168" t="s">
        <v>311</v>
      </c>
      <c r="D35" s="172" t="s">
        <v>280</v>
      </c>
      <c r="E35" s="172" t="s">
        <v>281</v>
      </c>
      <c r="F35" s="172" t="s">
        <v>280</v>
      </c>
      <c r="G35" s="172" t="s">
        <v>281</v>
      </c>
      <c r="H35" s="159">
        <f>1353.155+1549</f>
        <v>2902.1549999999997</v>
      </c>
      <c r="I35" s="160">
        <f>финансир!M37</f>
        <v>2888.7667000000001</v>
      </c>
      <c r="J35" s="167" t="s">
        <v>459</v>
      </c>
      <c r="K35" s="167" t="s">
        <v>554</v>
      </c>
      <c r="L35" s="161" t="s">
        <v>119</v>
      </c>
      <c r="M35" s="808">
        <f t="shared" si="3"/>
        <v>0.99538677293252786</v>
      </c>
    </row>
    <row r="36" spans="1:13" ht="148.5" customHeight="1" x14ac:dyDescent="0.25">
      <c r="A36" s="157" t="s">
        <v>87</v>
      </c>
      <c r="B36" s="158" t="s">
        <v>216</v>
      </c>
      <c r="C36" s="168" t="s">
        <v>314</v>
      </c>
      <c r="D36" s="172" t="s">
        <v>280</v>
      </c>
      <c r="E36" s="172" t="s">
        <v>283</v>
      </c>
      <c r="F36" s="172" t="s">
        <v>280</v>
      </c>
      <c r="G36" s="172" t="s">
        <v>283</v>
      </c>
      <c r="H36" s="184">
        <f>1099.85+906.45</f>
        <v>2006.3</v>
      </c>
      <c r="I36" s="160">
        <f>финансир!M38</f>
        <v>1998.825</v>
      </c>
      <c r="J36" s="167" t="s">
        <v>341</v>
      </c>
      <c r="K36" s="167" t="s">
        <v>555</v>
      </c>
      <c r="L36" s="191"/>
      <c r="M36" s="808">
        <f t="shared" si="3"/>
        <v>0.99627423615610833</v>
      </c>
    </row>
    <row r="37" spans="1:13" ht="168.75" customHeight="1" x14ac:dyDescent="0.25">
      <c r="A37" s="157" t="s">
        <v>88</v>
      </c>
      <c r="B37" s="158" t="s">
        <v>168</v>
      </c>
      <c r="C37" s="168" t="s">
        <v>311</v>
      </c>
      <c r="D37" s="172" t="s">
        <v>280</v>
      </c>
      <c r="E37" s="172" t="s">
        <v>281</v>
      </c>
      <c r="F37" s="172" t="s">
        <v>280</v>
      </c>
      <c r="G37" s="172" t="s">
        <v>281</v>
      </c>
      <c r="H37" s="159">
        <f>6550.381+9541.05</f>
        <v>16091.431</v>
      </c>
      <c r="I37" s="160">
        <f>финансир!M39</f>
        <v>15376.33304</v>
      </c>
      <c r="J37" s="167" t="s">
        <v>342</v>
      </c>
      <c r="K37" s="167" t="s">
        <v>394</v>
      </c>
      <c r="L37" s="191"/>
      <c r="M37" s="808">
        <f t="shared" si="3"/>
        <v>0.95556032524391388</v>
      </c>
    </row>
    <row r="38" spans="1:13" ht="147.75" customHeight="1" x14ac:dyDescent="0.25">
      <c r="A38" s="157" t="s">
        <v>89</v>
      </c>
      <c r="B38" s="158" t="s">
        <v>217</v>
      </c>
      <c r="C38" s="168" t="s">
        <v>311</v>
      </c>
      <c r="D38" s="172" t="s">
        <v>280</v>
      </c>
      <c r="E38" s="172" t="s">
        <v>282</v>
      </c>
      <c r="F38" s="172" t="s">
        <v>280</v>
      </c>
      <c r="G38" s="172" t="s">
        <v>282</v>
      </c>
      <c r="H38" s="159">
        <v>3352.663</v>
      </c>
      <c r="I38" s="160">
        <f>финансир!M40</f>
        <v>3319.8110000000001</v>
      </c>
      <c r="J38" s="620" t="s">
        <v>460</v>
      </c>
      <c r="K38" s="674" t="s">
        <v>507</v>
      </c>
      <c r="L38" s="191"/>
      <c r="M38" s="808">
        <f t="shared" si="3"/>
        <v>0.99020122213297312</v>
      </c>
    </row>
    <row r="39" spans="1:13" ht="150.75" customHeight="1" x14ac:dyDescent="0.25">
      <c r="A39" s="157" t="s">
        <v>90</v>
      </c>
      <c r="B39" s="158" t="s">
        <v>218</v>
      </c>
      <c r="C39" s="168" t="s">
        <v>314</v>
      </c>
      <c r="D39" s="172" t="s">
        <v>280</v>
      </c>
      <c r="E39" s="172" t="s">
        <v>282</v>
      </c>
      <c r="F39" s="172" t="s">
        <v>280</v>
      </c>
      <c r="G39" s="172" t="s">
        <v>282</v>
      </c>
      <c r="H39" s="184">
        <f>21.6+90340.9</f>
        <v>90362.5</v>
      </c>
      <c r="I39" s="160">
        <f>финансир!M41</f>
        <v>90291.663809999998</v>
      </c>
      <c r="J39" s="619" t="s">
        <v>461</v>
      </c>
      <c r="K39" s="167" t="s">
        <v>556</v>
      </c>
      <c r="L39" s="191"/>
      <c r="M39" s="808">
        <f t="shared" si="3"/>
        <v>0.99921608864296585</v>
      </c>
    </row>
    <row r="40" spans="1:13" ht="128.25" customHeight="1" x14ac:dyDescent="0.25">
      <c r="A40" s="157" t="s">
        <v>91</v>
      </c>
      <c r="B40" s="158" t="s">
        <v>219</v>
      </c>
      <c r="C40" s="168" t="s">
        <v>312</v>
      </c>
      <c r="D40" s="172" t="s">
        <v>281</v>
      </c>
      <c r="E40" s="172" t="s">
        <v>281</v>
      </c>
      <c r="F40" s="172" t="s">
        <v>281</v>
      </c>
      <c r="G40" s="172" t="s">
        <v>281</v>
      </c>
      <c r="H40" s="159">
        <v>0</v>
      </c>
      <c r="I40" s="675">
        <f>финансир!M42</f>
        <v>0</v>
      </c>
      <c r="J40" s="210" t="s">
        <v>29</v>
      </c>
      <c r="K40" s="860" t="s">
        <v>29</v>
      </c>
      <c r="L40" s="171" t="s">
        <v>118</v>
      </c>
      <c r="M40" s="808" t="e">
        <f t="shared" si="3"/>
        <v>#DIV/0!</v>
      </c>
    </row>
    <row r="41" spans="1:13" ht="150" customHeight="1" x14ac:dyDescent="0.25">
      <c r="A41" s="157" t="s">
        <v>92</v>
      </c>
      <c r="B41" s="158" t="s">
        <v>220</v>
      </c>
      <c r="C41" s="168" t="s">
        <v>314</v>
      </c>
      <c r="D41" s="172" t="s">
        <v>280</v>
      </c>
      <c r="E41" s="172" t="s">
        <v>282</v>
      </c>
      <c r="F41" s="172" t="s">
        <v>280</v>
      </c>
      <c r="G41" s="172" t="s">
        <v>282</v>
      </c>
      <c r="H41" s="184">
        <f>350.8+174</f>
        <v>524.79999999999995</v>
      </c>
      <c r="I41" s="160">
        <f>финансир!M43</f>
        <v>459.24450999999999</v>
      </c>
      <c r="J41" s="167" t="s">
        <v>112</v>
      </c>
      <c r="K41" s="167" t="s">
        <v>557</v>
      </c>
      <c r="L41" s="191"/>
      <c r="M41" s="808">
        <f t="shared" si="3"/>
        <v>0.87508481326219523</v>
      </c>
    </row>
    <row r="42" spans="1:13" ht="150.75" customHeight="1" x14ac:dyDescent="0.25">
      <c r="A42" s="157" t="s">
        <v>93</v>
      </c>
      <c r="B42" s="158" t="s">
        <v>221</v>
      </c>
      <c r="C42" s="168" t="s">
        <v>314</v>
      </c>
      <c r="D42" s="172" t="s">
        <v>280</v>
      </c>
      <c r="E42" s="172" t="s">
        <v>281</v>
      </c>
      <c r="F42" s="172" t="s">
        <v>280</v>
      </c>
      <c r="G42" s="172" t="s">
        <v>281</v>
      </c>
      <c r="H42" s="159">
        <f>2.551+133.8</f>
        <v>136.351</v>
      </c>
      <c r="I42" s="160">
        <f>финансир!M44</f>
        <v>2.5507499999999999</v>
      </c>
      <c r="J42" s="167" t="s">
        <v>113</v>
      </c>
      <c r="K42" s="167" t="s">
        <v>395</v>
      </c>
      <c r="L42" s="167" t="s">
        <v>396</v>
      </c>
      <c r="M42" s="808">
        <f t="shared" si="3"/>
        <v>1.8707233536974427E-2</v>
      </c>
    </row>
    <row r="43" spans="1:13" ht="141" customHeight="1" x14ac:dyDescent="0.25">
      <c r="A43" s="157" t="s">
        <v>94</v>
      </c>
      <c r="B43" s="158" t="s">
        <v>12</v>
      </c>
      <c r="C43" s="168" t="s">
        <v>311</v>
      </c>
      <c r="D43" s="172" t="s">
        <v>280</v>
      </c>
      <c r="E43" s="172" t="s">
        <v>281</v>
      </c>
      <c r="F43" s="172" t="s">
        <v>280</v>
      </c>
      <c r="G43" s="172" t="s">
        <v>281</v>
      </c>
      <c r="H43" s="184">
        <f>18.79+21.79</f>
        <v>40.58</v>
      </c>
      <c r="I43" s="160">
        <f>финансир!M45</f>
        <v>31.641310000000001</v>
      </c>
      <c r="J43" s="167" t="s">
        <v>114</v>
      </c>
      <c r="K43" s="167" t="s">
        <v>581</v>
      </c>
      <c r="L43" s="250"/>
      <c r="M43" s="808">
        <f t="shared" si="3"/>
        <v>0.7797267126663382</v>
      </c>
    </row>
    <row r="44" spans="1:13" ht="135" customHeight="1" x14ac:dyDescent="0.25">
      <c r="A44" s="157" t="s">
        <v>95</v>
      </c>
      <c r="B44" s="158" t="s">
        <v>13</v>
      </c>
      <c r="C44" s="168" t="s">
        <v>311</v>
      </c>
      <c r="D44" s="172" t="s">
        <v>280</v>
      </c>
      <c r="E44" s="172" t="s">
        <v>283</v>
      </c>
      <c r="F44" s="172" t="s">
        <v>280</v>
      </c>
      <c r="G44" s="172" t="s">
        <v>283</v>
      </c>
      <c r="H44" s="629">
        <f>297.494+366.455</f>
        <v>663.94900000000007</v>
      </c>
      <c r="I44" s="160">
        <f>финансир!M46</f>
        <v>442.29192</v>
      </c>
      <c r="J44" s="167" t="s">
        <v>462</v>
      </c>
      <c r="K44" s="619" t="s">
        <v>575</v>
      </c>
      <c r="L44" s="191"/>
      <c r="M44" s="808">
        <f t="shared" si="3"/>
        <v>0.66615345455750363</v>
      </c>
    </row>
    <row r="45" spans="1:13" ht="147" customHeight="1" x14ac:dyDescent="0.25">
      <c r="A45" s="157" t="s">
        <v>96</v>
      </c>
      <c r="B45" s="158" t="s">
        <v>222</v>
      </c>
      <c r="C45" s="168" t="s">
        <v>314</v>
      </c>
      <c r="D45" s="172" t="s">
        <v>280</v>
      </c>
      <c r="E45" s="172" t="s">
        <v>281</v>
      </c>
      <c r="F45" s="172" t="s">
        <v>280</v>
      </c>
      <c r="G45" s="172" t="s">
        <v>281</v>
      </c>
      <c r="H45" s="184">
        <f>1881.9+1884.4</f>
        <v>3766.3</v>
      </c>
      <c r="I45" s="160">
        <f>финансир!M47</f>
        <v>3717.3773999999999</v>
      </c>
      <c r="J45" s="167" t="s">
        <v>343</v>
      </c>
      <c r="K45" s="167" t="s">
        <v>558</v>
      </c>
      <c r="L45" s="191"/>
      <c r="M45" s="808">
        <f t="shared" si="3"/>
        <v>0.98701043464408034</v>
      </c>
    </row>
    <row r="46" spans="1:13" ht="147" customHeight="1" x14ac:dyDescent="0.25">
      <c r="A46" s="157" t="s">
        <v>97</v>
      </c>
      <c r="B46" s="158" t="s">
        <v>14</v>
      </c>
      <c r="C46" s="168" t="s">
        <v>314</v>
      </c>
      <c r="D46" s="172" t="s">
        <v>281</v>
      </c>
      <c r="E46" s="172" t="s">
        <v>281</v>
      </c>
      <c r="F46" s="172" t="s">
        <v>281</v>
      </c>
      <c r="G46" s="172" t="s">
        <v>281</v>
      </c>
      <c r="H46" s="159">
        <v>250</v>
      </c>
      <c r="I46" s="675">
        <f>финансир!M48</f>
        <v>0</v>
      </c>
      <c r="J46" s="167" t="s">
        <v>463</v>
      </c>
      <c r="K46" s="619" t="s">
        <v>505</v>
      </c>
      <c r="L46" s="171"/>
      <c r="M46" s="808">
        <f t="shared" si="3"/>
        <v>0</v>
      </c>
    </row>
    <row r="47" spans="1:13" ht="136.5" customHeight="1" x14ac:dyDescent="0.25">
      <c r="A47" s="157" t="s">
        <v>98</v>
      </c>
      <c r="B47" s="850" t="s">
        <v>120</v>
      </c>
      <c r="C47" s="168" t="s">
        <v>311</v>
      </c>
      <c r="D47" s="172" t="s">
        <v>280</v>
      </c>
      <c r="E47" s="172" t="s">
        <v>281</v>
      </c>
      <c r="F47" s="172" t="s">
        <v>280</v>
      </c>
      <c r="G47" s="172" t="s">
        <v>281</v>
      </c>
      <c r="H47" s="159">
        <f>301.26+469.074+737.566+1148.423</f>
        <v>2656.3230000000003</v>
      </c>
      <c r="I47" s="160">
        <f>финансир!L49+финансир!M49</f>
        <v>3194.1485300000004</v>
      </c>
      <c r="J47" s="167" t="s">
        <v>344</v>
      </c>
      <c r="K47" s="167" t="s">
        <v>503</v>
      </c>
      <c r="L47" s="171"/>
      <c r="M47" s="808">
        <f t="shared" si="3"/>
        <v>1.2024699292970018</v>
      </c>
    </row>
    <row r="48" spans="1:13" ht="141" customHeight="1" x14ac:dyDescent="0.25">
      <c r="A48" s="157" t="s">
        <v>99</v>
      </c>
      <c r="B48" s="850" t="s">
        <v>124</v>
      </c>
      <c r="C48" s="168" t="s">
        <v>311</v>
      </c>
      <c r="D48" s="172" t="s">
        <v>280</v>
      </c>
      <c r="E48" s="172" t="s">
        <v>281</v>
      </c>
      <c r="F48" s="172" t="s">
        <v>280</v>
      </c>
      <c r="G48" s="172" t="s">
        <v>281</v>
      </c>
      <c r="H48" s="159">
        <v>52.8</v>
      </c>
      <c r="I48" s="160">
        <f>финансир!M50</f>
        <v>50.286520000000003</v>
      </c>
      <c r="J48" s="167" t="s">
        <v>345</v>
      </c>
      <c r="K48" s="167" t="s">
        <v>559</v>
      </c>
      <c r="L48" s="171"/>
      <c r="M48" s="808">
        <f t="shared" si="3"/>
        <v>0.95239621212121228</v>
      </c>
    </row>
    <row r="49" spans="1:13" ht="140.25" customHeight="1" x14ac:dyDescent="0.25">
      <c r="A49" s="157" t="s">
        <v>100</v>
      </c>
      <c r="B49" s="158" t="s">
        <v>15</v>
      </c>
      <c r="C49" s="168" t="s">
        <v>311</v>
      </c>
      <c r="D49" s="172" t="s">
        <v>280</v>
      </c>
      <c r="E49" s="172" t="s">
        <v>281</v>
      </c>
      <c r="F49" s="172" t="s">
        <v>280</v>
      </c>
      <c r="G49" s="172" t="s">
        <v>281</v>
      </c>
      <c r="H49" s="184">
        <v>15015.78</v>
      </c>
      <c r="I49" s="160">
        <f>финансир!L51</f>
        <v>15015.78</v>
      </c>
      <c r="J49" s="620" t="s">
        <v>464</v>
      </c>
      <c r="K49" s="620" t="s">
        <v>492</v>
      </c>
      <c r="L49" s="171"/>
      <c r="M49" s="808">
        <f t="shared" si="3"/>
        <v>1</v>
      </c>
    </row>
    <row r="50" spans="1:13" ht="149.25" customHeight="1" x14ac:dyDescent="0.25">
      <c r="A50" s="157" t="s">
        <v>101</v>
      </c>
      <c r="B50" s="158" t="s">
        <v>16</v>
      </c>
      <c r="C50" s="168" t="s">
        <v>314</v>
      </c>
      <c r="D50" s="172" t="s">
        <v>280</v>
      </c>
      <c r="E50" s="172" t="s">
        <v>281</v>
      </c>
      <c r="F50" s="172" t="s">
        <v>280</v>
      </c>
      <c r="G50" s="172" t="s">
        <v>281</v>
      </c>
      <c r="H50" s="159">
        <f>102955.574+833.525</f>
        <v>103789.09899999999</v>
      </c>
      <c r="I50" s="160">
        <f>финансир!L52</f>
        <v>103789.09894</v>
      </c>
      <c r="J50" s="167" t="s">
        <v>465</v>
      </c>
      <c r="K50" s="167" t="s">
        <v>493</v>
      </c>
      <c r="L50" s="191"/>
      <c r="M50" s="808">
        <f t="shared" si="3"/>
        <v>0.99999999942190465</v>
      </c>
    </row>
    <row r="51" spans="1:13" ht="149.25" customHeight="1" x14ac:dyDescent="0.25">
      <c r="A51" s="157" t="s">
        <v>102</v>
      </c>
      <c r="B51" s="158" t="s">
        <v>223</v>
      </c>
      <c r="C51" s="168" t="s">
        <v>314</v>
      </c>
      <c r="D51" s="172" t="s">
        <v>280</v>
      </c>
      <c r="E51" s="172" t="s">
        <v>281</v>
      </c>
      <c r="F51" s="172" t="s">
        <v>280</v>
      </c>
      <c r="G51" s="172" t="s">
        <v>281</v>
      </c>
      <c r="H51" s="184">
        <f>40.554+38.758</f>
        <v>79.312000000000012</v>
      </c>
      <c r="I51" s="160">
        <f>финансир!L53</f>
        <v>79.312340000000006</v>
      </c>
      <c r="J51" s="167" t="s">
        <v>346</v>
      </c>
      <c r="K51" s="167" t="s">
        <v>494</v>
      </c>
      <c r="L51" s="191"/>
      <c r="M51" s="808">
        <f t="shared" si="3"/>
        <v>1.0000042868670567</v>
      </c>
    </row>
    <row r="52" spans="1:13" ht="135.75" customHeight="1" x14ac:dyDescent="0.25">
      <c r="A52" s="157" t="s">
        <v>103</v>
      </c>
      <c r="B52" s="158" t="s">
        <v>224</v>
      </c>
      <c r="C52" s="168" t="s">
        <v>311</v>
      </c>
      <c r="D52" s="172" t="s">
        <v>280</v>
      </c>
      <c r="E52" s="172" t="s">
        <v>281</v>
      </c>
      <c r="F52" s="172" t="s">
        <v>280</v>
      </c>
      <c r="G52" s="172" t="s">
        <v>281</v>
      </c>
      <c r="H52" s="184">
        <f>213052.918+269801.699</f>
        <v>482854.61700000003</v>
      </c>
      <c r="I52" s="160">
        <f>финансир!L54</f>
        <v>482854.61703999998</v>
      </c>
      <c r="J52" s="167" t="s">
        <v>466</v>
      </c>
      <c r="K52" s="167" t="s">
        <v>495</v>
      </c>
      <c r="L52" s="191"/>
      <c r="M52" s="808">
        <f t="shared" si="3"/>
        <v>1.0000000000828406</v>
      </c>
    </row>
    <row r="53" spans="1:13" ht="150" customHeight="1" x14ac:dyDescent="0.25">
      <c r="A53" s="157" t="s">
        <v>121</v>
      </c>
      <c r="B53" s="158" t="s">
        <v>104</v>
      </c>
      <c r="C53" s="168" t="s">
        <v>314</v>
      </c>
      <c r="D53" s="172" t="s">
        <v>280</v>
      </c>
      <c r="E53" s="172" t="s">
        <v>281</v>
      </c>
      <c r="F53" s="172" t="s">
        <v>280</v>
      </c>
      <c r="G53" s="172" t="s">
        <v>281</v>
      </c>
      <c r="H53" s="159">
        <f>8107.884+7576.877</f>
        <v>15684.761</v>
      </c>
      <c r="I53" s="160">
        <f>финансир!L55</f>
        <v>15684.76103</v>
      </c>
      <c r="J53" s="167" t="s">
        <v>347</v>
      </c>
      <c r="K53" s="167" t="s">
        <v>496</v>
      </c>
      <c r="L53" s="191"/>
      <c r="M53" s="808">
        <f t="shared" si="3"/>
        <v>1.0000000019126845</v>
      </c>
    </row>
    <row r="54" spans="1:13" ht="148.5" customHeight="1" x14ac:dyDescent="0.25">
      <c r="A54" s="157" t="s">
        <v>381</v>
      </c>
      <c r="B54" s="158" t="s">
        <v>225</v>
      </c>
      <c r="C54" s="168" t="s">
        <v>314</v>
      </c>
      <c r="D54" s="172" t="s">
        <v>280</v>
      </c>
      <c r="E54" s="172" t="s">
        <v>281</v>
      </c>
      <c r="F54" s="172" t="s">
        <v>280</v>
      </c>
      <c r="G54" s="172" t="s">
        <v>281</v>
      </c>
      <c r="H54" s="184">
        <f>49.441+48.757</f>
        <v>98.198000000000008</v>
      </c>
      <c r="I54" s="160">
        <f>финансир!L56</f>
        <v>98.198329999999999</v>
      </c>
      <c r="J54" s="167" t="s">
        <v>348</v>
      </c>
      <c r="K54" s="619" t="s">
        <v>560</v>
      </c>
      <c r="L54" s="191"/>
      <c r="M54" s="808">
        <f t="shared" si="3"/>
        <v>1.0000033605572414</v>
      </c>
    </row>
    <row r="55" spans="1:13" ht="33.75" customHeight="1" x14ac:dyDescent="0.25">
      <c r="A55" s="173" t="s">
        <v>105</v>
      </c>
      <c r="B55" s="174" t="s">
        <v>106</v>
      </c>
      <c r="C55" s="175"/>
      <c r="D55" s="172"/>
      <c r="E55" s="172"/>
      <c r="F55" s="191"/>
      <c r="G55" s="191"/>
      <c r="H55" s="176">
        <f>H56+H57</f>
        <v>10440.450000000001</v>
      </c>
      <c r="I55" s="176">
        <f>I56+I57</f>
        <v>5860.91752</v>
      </c>
      <c r="J55" s="167"/>
      <c r="K55" s="782"/>
      <c r="L55" s="191"/>
      <c r="M55" s="808">
        <f t="shared" si="3"/>
        <v>0.56136637022350566</v>
      </c>
    </row>
    <row r="56" spans="1:13" ht="205.5" customHeight="1" x14ac:dyDescent="0.25">
      <c r="A56" s="177" t="s">
        <v>19</v>
      </c>
      <c r="B56" s="161" t="s">
        <v>274</v>
      </c>
      <c r="C56" s="676" t="s">
        <v>318</v>
      </c>
      <c r="D56" s="172" t="s">
        <v>280</v>
      </c>
      <c r="E56" s="172" t="s">
        <v>281</v>
      </c>
      <c r="F56" s="172" t="s">
        <v>280</v>
      </c>
      <c r="G56" s="172" t="s">
        <v>281</v>
      </c>
      <c r="H56" s="184">
        <f>3881.63+5958.82</f>
        <v>9840.4500000000007</v>
      </c>
      <c r="I56" s="160">
        <f>финансир!M58</f>
        <v>5860.91752</v>
      </c>
      <c r="J56" s="619" t="s">
        <v>349</v>
      </c>
      <c r="K56" s="861" t="s">
        <v>509</v>
      </c>
      <c r="L56" s="191"/>
      <c r="M56" s="808">
        <f t="shared" si="3"/>
        <v>0.59559446163539265</v>
      </c>
    </row>
    <row r="57" spans="1:13" ht="207.75" customHeight="1" x14ac:dyDescent="0.25">
      <c r="A57" s="177" t="s">
        <v>20</v>
      </c>
      <c r="B57" s="850" t="s">
        <v>350</v>
      </c>
      <c r="C57" s="677" t="s">
        <v>351</v>
      </c>
      <c r="D57" s="172" t="s">
        <v>280</v>
      </c>
      <c r="E57" s="172" t="s">
        <v>280</v>
      </c>
      <c r="F57" s="172" t="s">
        <v>280</v>
      </c>
      <c r="G57" s="172" t="s">
        <v>280</v>
      </c>
      <c r="H57" s="184">
        <v>600</v>
      </c>
      <c r="I57" s="160">
        <f>финансир!M59</f>
        <v>0</v>
      </c>
      <c r="J57" s="619" t="s">
        <v>352</v>
      </c>
      <c r="K57" s="862" t="s">
        <v>510</v>
      </c>
      <c r="L57" s="191"/>
      <c r="M57" s="808">
        <f t="shared" si="3"/>
        <v>0</v>
      </c>
    </row>
    <row r="58" spans="1:13" ht="42.75" customHeight="1" x14ac:dyDescent="0.25">
      <c r="A58" s="173" t="s">
        <v>50</v>
      </c>
      <c r="B58" s="174" t="s">
        <v>107</v>
      </c>
      <c r="C58" s="854"/>
      <c r="D58" s="191"/>
      <c r="E58" s="191"/>
      <c r="F58" s="191"/>
      <c r="G58" s="191"/>
      <c r="H58" s="176">
        <f>H59+H60+H61</f>
        <v>0</v>
      </c>
      <c r="I58" s="176">
        <f>I59+I60+I61</f>
        <v>3703.94</v>
      </c>
      <c r="J58" s="619"/>
      <c r="K58" s="781"/>
      <c r="L58" s="191"/>
      <c r="M58" s="808" t="e">
        <f t="shared" si="3"/>
        <v>#DIV/0!</v>
      </c>
    </row>
    <row r="59" spans="1:13" ht="151.5" customHeight="1" x14ac:dyDescent="0.25">
      <c r="A59" s="178" t="s">
        <v>32</v>
      </c>
      <c r="B59" s="179" t="s">
        <v>276</v>
      </c>
      <c r="C59" s="678" t="s">
        <v>319</v>
      </c>
      <c r="D59" s="172" t="s">
        <v>280</v>
      </c>
      <c r="E59" s="172" t="s">
        <v>280</v>
      </c>
      <c r="F59" s="172" t="s">
        <v>280</v>
      </c>
      <c r="G59" s="172" t="s">
        <v>280</v>
      </c>
      <c r="H59" s="159">
        <v>0</v>
      </c>
      <c r="I59" s="679">
        <f>финансир!L61+финансир!M61</f>
        <v>3703.94</v>
      </c>
      <c r="J59" s="624" t="s">
        <v>29</v>
      </c>
      <c r="K59" s="167" t="s">
        <v>511</v>
      </c>
      <c r="L59" s="192"/>
      <c r="M59" s="808" t="e">
        <f t="shared" si="3"/>
        <v>#DIV/0!</v>
      </c>
    </row>
    <row r="60" spans="1:13" ht="172.5" customHeight="1" x14ac:dyDescent="0.25">
      <c r="A60" s="981" t="s">
        <v>39</v>
      </c>
      <c r="B60" s="900" t="s">
        <v>277</v>
      </c>
      <c r="C60" s="668" t="s">
        <v>321</v>
      </c>
      <c r="D60" s="210" t="s">
        <v>283</v>
      </c>
      <c r="E60" s="210" t="s">
        <v>283</v>
      </c>
      <c r="F60" s="210" t="s">
        <v>283</v>
      </c>
      <c r="G60" s="210" t="s">
        <v>283</v>
      </c>
      <c r="H60" s="159">
        <v>0</v>
      </c>
      <c r="I60" s="679">
        <f>финансир!L62+финансир!M62</f>
        <v>0</v>
      </c>
      <c r="J60" s="167" t="s">
        <v>468</v>
      </c>
      <c r="K60" s="863" t="s">
        <v>572</v>
      </c>
      <c r="L60" s="674"/>
      <c r="M60" s="808" t="e">
        <f t="shared" si="3"/>
        <v>#DIV/0!</v>
      </c>
    </row>
    <row r="61" spans="1:13" ht="81" customHeight="1" x14ac:dyDescent="0.25">
      <c r="A61" s="982"/>
      <c r="B61" s="917"/>
      <c r="C61" s="680" t="s">
        <v>320</v>
      </c>
      <c r="D61" s="852" t="s">
        <v>281</v>
      </c>
      <c r="E61" s="852" t="s">
        <v>281</v>
      </c>
      <c r="F61" s="852" t="s">
        <v>281</v>
      </c>
      <c r="G61" s="172" t="s">
        <v>281</v>
      </c>
      <c r="H61" s="159">
        <v>0</v>
      </c>
      <c r="I61" s="679">
        <f>финансир!L63+финансир!M63</f>
        <v>0</v>
      </c>
      <c r="J61" s="619" t="s">
        <v>467</v>
      </c>
      <c r="K61" s="167" t="s">
        <v>512</v>
      </c>
      <c r="L61" s="161"/>
      <c r="M61" s="808" t="e">
        <f t="shared" si="3"/>
        <v>#DIV/0!</v>
      </c>
    </row>
    <row r="62" spans="1:13" ht="27" customHeight="1" thickBot="1" x14ac:dyDescent="0.3">
      <c r="A62" s="979" t="s">
        <v>66</v>
      </c>
      <c r="B62" s="980"/>
      <c r="C62" s="180"/>
      <c r="D62" s="181"/>
      <c r="E62" s="182"/>
      <c r="F62" s="183"/>
      <c r="G62" s="183"/>
      <c r="H62" s="184"/>
      <c r="I62" s="160"/>
      <c r="J62" s="619"/>
      <c r="K62" s="783"/>
      <c r="L62" s="183"/>
      <c r="M62" s="808" t="e">
        <f t="shared" si="3"/>
        <v>#DIV/0!</v>
      </c>
    </row>
    <row r="63" spans="1:13" ht="113.25" customHeight="1" thickBot="1" x14ac:dyDescent="0.3">
      <c r="A63" s="192"/>
      <c r="B63" s="161" t="s">
        <v>54</v>
      </c>
      <c r="C63" s="170" t="s">
        <v>315</v>
      </c>
      <c r="D63" s="681"/>
      <c r="E63" s="682"/>
      <c r="F63" s="683"/>
      <c r="G63" s="684"/>
      <c r="H63" s="184" t="s">
        <v>52</v>
      </c>
      <c r="I63" s="160" t="s">
        <v>52</v>
      </c>
      <c r="J63" s="864">
        <f>'Целевые индикаторы '!D8</f>
        <v>2.6</v>
      </c>
      <c r="K63" s="865">
        <f>'Целевые индикаторы '!E8</f>
        <v>2.6</v>
      </c>
      <c r="L63" s="185" t="str">
        <f>'Целевые индикаторы '!G8</f>
        <v>За I полугодие 2017 года значение целевого индикатора выполнено</v>
      </c>
      <c r="M63" s="808" t="e">
        <f t="shared" si="3"/>
        <v>#VALUE!</v>
      </c>
    </row>
    <row r="64" spans="1:13" ht="107.25" customHeight="1" thickBot="1" x14ac:dyDescent="0.3">
      <c r="A64" s="192"/>
      <c r="B64" s="161" t="s">
        <v>55</v>
      </c>
      <c r="C64" s="170" t="s">
        <v>315</v>
      </c>
      <c r="D64" s="681"/>
      <c r="E64" s="682"/>
      <c r="F64" s="683"/>
      <c r="G64" s="684"/>
      <c r="H64" s="184" t="s">
        <v>52</v>
      </c>
      <c r="I64" s="160" t="s">
        <v>52</v>
      </c>
      <c r="J64" s="866">
        <f>'Целевые индикаторы '!D9</f>
        <v>0.25</v>
      </c>
      <c r="K64" s="799">
        <f>'Целевые индикаторы '!E9</f>
        <v>0.25</v>
      </c>
      <c r="L64" s="185" t="str">
        <f>'Целевые индикаторы '!G9</f>
        <v>За I полугодие 2017 года значение целевого индикатора выполнено</v>
      </c>
      <c r="M64" s="808" t="e">
        <f t="shared" si="3"/>
        <v>#VALUE!</v>
      </c>
    </row>
    <row r="65" spans="1:14" ht="97.5" customHeight="1" x14ac:dyDescent="0.25">
      <c r="A65" s="192"/>
      <c r="B65" s="161" t="s">
        <v>67</v>
      </c>
      <c r="C65" s="170" t="s">
        <v>315</v>
      </c>
      <c r="D65" s="681"/>
      <c r="E65" s="682"/>
      <c r="F65" s="683"/>
      <c r="G65" s="684"/>
      <c r="H65" s="184" t="s">
        <v>52</v>
      </c>
      <c r="I65" s="160" t="s">
        <v>52</v>
      </c>
      <c r="J65" s="867">
        <f>'Целевые индикаторы '!D10</f>
        <v>98.6</v>
      </c>
      <c r="K65" s="867">
        <f>'Целевые индикаторы '!E10</f>
        <v>99.5</v>
      </c>
      <c r="L65" s="185" t="str">
        <f>'Целевые индикаторы '!G10</f>
        <v>За I полугодие 2017 года значение целевого индикатора перевыполнено</v>
      </c>
      <c r="M65" s="808" t="e">
        <f t="shared" si="3"/>
        <v>#VALUE!</v>
      </c>
    </row>
    <row r="66" spans="1:14" ht="235.5" customHeight="1" x14ac:dyDescent="0.25">
      <c r="A66" s="192"/>
      <c r="B66" s="161" t="s">
        <v>154</v>
      </c>
      <c r="C66" s="676" t="s">
        <v>322</v>
      </c>
      <c r="D66" s="681"/>
      <c r="E66" s="682"/>
      <c r="F66" s="683"/>
      <c r="G66" s="684"/>
      <c r="H66" s="184"/>
      <c r="I66" s="160"/>
      <c r="J66" s="867">
        <f>'Целевые индикаторы '!D34</f>
        <v>73</v>
      </c>
      <c r="K66" s="867">
        <f>'Целевые индикаторы '!E34</f>
        <v>78</v>
      </c>
      <c r="L66" s="185" t="str">
        <f>'Целевые индикаторы '!G34</f>
        <v>За I полугодие 2017 года значение целевого индикатора перевыполнен</v>
      </c>
      <c r="M66" s="808" t="e">
        <f t="shared" si="3"/>
        <v>#DIV/0!</v>
      </c>
    </row>
    <row r="67" spans="1:14" ht="16.5" thickBot="1" x14ac:dyDescent="0.3">
      <c r="A67" s="251">
        <v>2</v>
      </c>
      <c r="B67" s="186" t="s">
        <v>49</v>
      </c>
      <c r="C67" s="187"/>
      <c r="D67" s="252"/>
      <c r="E67" s="252"/>
      <c r="F67" s="252"/>
      <c r="G67" s="252"/>
      <c r="H67" s="630">
        <f>H68</f>
        <v>1368653.8560000001</v>
      </c>
      <c r="I67" s="188">
        <f>I68</f>
        <v>1351506.4426400003</v>
      </c>
      <c r="J67" s="621"/>
      <c r="K67" s="784"/>
      <c r="L67" s="253"/>
      <c r="M67" s="808">
        <f t="shared" si="3"/>
        <v>0.98747132937606696</v>
      </c>
    </row>
    <row r="68" spans="1:14" ht="35.25" customHeight="1" x14ac:dyDescent="0.25">
      <c r="A68" s="254" t="s">
        <v>108</v>
      </c>
      <c r="B68" s="255" t="s">
        <v>69</v>
      </c>
      <c r="C68" s="187"/>
      <c r="D68" s="252"/>
      <c r="E68" s="252"/>
      <c r="F68" s="252"/>
      <c r="G68" s="252"/>
      <c r="H68" s="630">
        <f>H69+H70+H71+H72+H73+H74+H75+H76+H77+H78+H79+H80+H81+H82+H83+H84+H85+H86+H87+H88+H89+H90+H91+H92+H93</f>
        <v>1368653.8560000001</v>
      </c>
      <c r="I68" s="188">
        <f>I69+I70+I71+I72+I73+I74+I75+I76+I77+I78+I79+I80+I81+I82+I83+I84+I85+I86+I87+I88+I89+I90+I91+I92+I93</f>
        <v>1351506.4426400003</v>
      </c>
      <c r="J68" s="621"/>
      <c r="K68" s="784"/>
      <c r="L68" s="253"/>
      <c r="M68" s="808">
        <f t="shared" si="3"/>
        <v>0.98747132937606696</v>
      </c>
      <c r="N68" s="248">
        <f>I67-финансир!M92-финансир!L92</f>
        <v>1342861.1126400002</v>
      </c>
    </row>
    <row r="69" spans="1:14" ht="150.75" customHeight="1" x14ac:dyDescent="0.25">
      <c r="A69" s="165" t="s">
        <v>187</v>
      </c>
      <c r="B69" s="166" t="s">
        <v>226</v>
      </c>
      <c r="C69" s="168" t="s">
        <v>314</v>
      </c>
      <c r="D69" s="172" t="s">
        <v>280</v>
      </c>
      <c r="E69" s="172" t="s">
        <v>281</v>
      </c>
      <c r="F69" s="172" t="s">
        <v>280</v>
      </c>
      <c r="G69" s="172" t="s">
        <v>281</v>
      </c>
      <c r="H69" s="159">
        <f>79046.715+90043.7</f>
        <v>169090.41499999998</v>
      </c>
      <c r="I69" s="160">
        <f>финансир!M68</f>
        <v>165327.93575</v>
      </c>
      <c r="J69" s="620" t="s">
        <v>469</v>
      </c>
      <c r="K69" s="167" t="s">
        <v>561</v>
      </c>
      <c r="L69" s="191"/>
      <c r="M69" s="808">
        <f t="shared" si="3"/>
        <v>0.97774871360981652</v>
      </c>
    </row>
    <row r="70" spans="1:14" ht="101.25" customHeight="1" x14ac:dyDescent="0.25">
      <c r="A70" s="157" t="s">
        <v>188</v>
      </c>
      <c r="B70" s="158" t="s">
        <v>227</v>
      </c>
      <c r="C70" s="170" t="s">
        <v>323</v>
      </c>
      <c r="D70" s="172" t="s">
        <v>280</v>
      </c>
      <c r="E70" s="172" t="s">
        <v>283</v>
      </c>
      <c r="F70" s="172" t="s">
        <v>280</v>
      </c>
      <c r="G70" s="172" t="s">
        <v>283</v>
      </c>
      <c r="H70" s="159">
        <f>800+1900</f>
        <v>2700</v>
      </c>
      <c r="I70" s="160">
        <f>финансир!M69</f>
        <v>1200</v>
      </c>
      <c r="J70" s="167" t="s">
        <v>470</v>
      </c>
      <c r="K70" s="863" t="s">
        <v>562</v>
      </c>
      <c r="L70" s="169" t="s">
        <v>301</v>
      </c>
      <c r="M70" s="808">
        <f t="shared" si="3"/>
        <v>0.44444444444444442</v>
      </c>
    </row>
    <row r="71" spans="1:14" ht="101.25" customHeight="1" x14ac:dyDescent="0.25">
      <c r="A71" s="157" t="s">
        <v>189</v>
      </c>
      <c r="B71" s="158" t="s">
        <v>21</v>
      </c>
      <c r="C71" s="168" t="s">
        <v>323</v>
      </c>
      <c r="D71" s="172" t="s">
        <v>280</v>
      </c>
      <c r="E71" s="172" t="s">
        <v>283</v>
      </c>
      <c r="F71" s="172" t="s">
        <v>280</v>
      </c>
      <c r="G71" s="172" t="s">
        <v>283</v>
      </c>
      <c r="H71" s="159">
        <f>555.27+1594.73</f>
        <v>2150</v>
      </c>
      <c r="I71" s="160">
        <f>финансир!M70</f>
        <v>1347.00316</v>
      </c>
      <c r="J71" s="620" t="s">
        <v>471</v>
      </c>
      <c r="K71" s="890" t="s">
        <v>586</v>
      </c>
      <c r="L71" s="179" t="s">
        <v>3</v>
      </c>
      <c r="M71" s="808">
        <f t="shared" si="3"/>
        <v>0.62651309767441854</v>
      </c>
    </row>
    <row r="72" spans="1:14" ht="121.5" customHeight="1" x14ac:dyDescent="0.25">
      <c r="A72" s="157" t="s">
        <v>190</v>
      </c>
      <c r="B72" s="158" t="s">
        <v>228</v>
      </c>
      <c r="C72" s="170" t="s">
        <v>323</v>
      </c>
      <c r="D72" s="172" t="s">
        <v>280</v>
      </c>
      <c r="E72" s="172" t="s">
        <v>281</v>
      </c>
      <c r="F72" s="172" t="s">
        <v>280</v>
      </c>
      <c r="G72" s="172" t="s">
        <v>281</v>
      </c>
      <c r="H72" s="159">
        <f>245+2205</f>
        <v>2450</v>
      </c>
      <c r="I72" s="160">
        <f>финансир!M71</f>
        <v>816.64733000000001</v>
      </c>
      <c r="J72" s="620" t="s">
        <v>472</v>
      </c>
      <c r="K72" s="868" t="s">
        <v>563</v>
      </c>
      <c r="L72" s="179" t="s">
        <v>414</v>
      </c>
      <c r="M72" s="808">
        <f t="shared" si="3"/>
        <v>0.33332544081632653</v>
      </c>
    </row>
    <row r="73" spans="1:14" ht="123" customHeight="1" x14ac:dyDescent="0.25">
      <c r="A73" s="157" t="s">
        <v>191</v>
      </c>
      <c r="B73" s="158" t="s">
        <v>23</v>
      </c>
      <c r="C73" s="168" t="s">
        <v>323</v>
      </c>
      <c r="D73" s="172" t="s">
        <v>280</v>
      </c>
      <c r="E73" s="172" t="s">
        <v>281</v>
      </c>
      <c r="F73" s="172" t="s">
        <v>280</v>
      </c>
      <c r="G73" s="172" t="s">
        <v>281</v>
      </c>
      <c r="H73" s="159">
        <v>31.5</v>
      </c>
      <c r="I73" s="160">
        <f>финансир!M72</f>
        <v>0</v>
      </c>
      <c r="J73" s="620" t="s">
        <v>354</v>
      </c>
      <c r="K73" s="169" t="s">
        <v>514</v>
      </c>
      <c r="L73" s="682"/>
      <c r="M73" s="808">
        <f t="shared" si="3"/>
        <v>0</v>
      </c>
    </row>
    <row r="74" spans="1:14" ht="108.75" customHeight="1" x14ac:dyDescent="0.25">
      <c r="A74" s="157" t="s">
        <v>17</v>
      </c>
      <c r="B74" s="158" t="s">
        <v>24</v>
      </c>
      <c r="C74" s="669" t="s">
        <v>323</v>
      </c>
      <c r="D74" s="172" t="s">
        <v>282</v>
      </c>
      <c r="E74" s="172" t="s">
        <v>282</v>
      </c>
      <c r="F74" s="172" t="s">
        <v>282</v>
      </c>
      <c r="G74" s="172" t="s">
        <v>282</v>
      </c>
      <c r="H74" s="159">
        <v>826</v>
      </c>
      <c r="I74" s="160">
        <f>финансир!M73</f>
        <v>823.35799999999995</v>
      </c>
      <c r="J74" s="620" t="s">
        <v>473</v>
      </c>
      <c r="K74" s="868" t="s">
        <v>564</v>
      </c>
      <c r="L74" s="179" t="s">
        <v>413</v>
      </c>
      <c r="M74" s="808">
        <f t="shared" si="3"/>
        <v>0.99680145278450361</v>
      </c>
    </row>
    <row r="75" spans="1:14" ht="150" customHeight="1" x14ac:dyDescent="0.25">
      <c r="A75" s="157" t="s">
        <v>18</v>
      </c>
      <c r="B75" s="158" t="s">
        <v>231</v>
      </c>
      <c r="C75" s="168" t="s">
        <v>314</v>
      </c>
      <c r="D75" s="172" t="s">
        <v>280</v>
      </c>
      <c r="E75" s="172" t="s">
        <v>283</v>
      </c>
      <c r="F75" s="172" t="s">
        <v>280</v>
      </c>
      <c r="G75" s="172" t="s">
        <v>283</v>
      </c>
      <c r="H75" s="629">
        <f>52768.375+52565.375</f>
        <v>105333.75</v>
      </c>
      <c r="I75" s="160">
        <f>финансир!M74</f>
        <v>105322.47331</v>
      </c>
      <c r="J75" s="620" t="s">
        <v>474</v>
      </c>
      <c r="K75" s="167" t="s">
        <v>565</v>
      </c>
      <c r="L75" s="191"/>
      <c r="M75" s="808">
        <f t="shared" si="3"/>
        <v>0.99989294323993971</v>
      </c>
    </row>
    <row r="76" spans="1:14" ht="150" customHeight="1" x14ac:dyDescent="0.25">
      <c r="A76" s="189" t="s">
        <v>64</v>
      </c>
      <c r="B76" s="190" t="s">
        <v>475</v>
      </c>
      <c r="C76" s="168" t="s">
        <v>314</v>
      </c>
      <c r="D76" s="172" t="s">
        <v>280</v>
      </c>
      <c r="E76" s="172" t="s">
        <v>281</v>
      </c>
      <c r="F76" s="172" t="s">
        <v>280</v>
      </c>
      <c r="G76" s="172" t="s">
        <v>281</v>
      </c>
      <c r="H76" s="159">
        <f>139.1+118.15</f>
        <v>257.25</v>
      </c>
      <c r="I76" s="160">
        <f>финансир!M75</f>
        <v>256.87858</v>
      </c>
      <c r="J76" s="620" t="s">
        <v>355</v>
      </c>
      <c r="K76" s="167" t="s">
        <v>566</v>
      </c>
      <c r="L76" s="191"/>
      <c r="M76" s="808">
        <f t="shared" si="3"/>
        <v>0.99855619047619049</v>
      </c>
    </row>
    <row r="77" spans="1:14" ht="150" customHeight="1" x14ac:dyDescent="0.25">
      <c r="A77" s="189" t="s">
        <v>275</v>
      </c>
      <c r="B77" s="190" t="s">
        <v>233</v>
      </c>
      <c r="C77" s="168" t="s">
        <v>314</v>
      </c>
      <c r="D77" s="172" t="s">
        <v>280</v>
      </c>
      <c r="E77" s="172" t="s">
        <v>283</v>
      </c>
      <c r="F77" s="172" t="s">
        <v>280</v>
      </c>
      <c r="G77" s="172" t="s">
        <v>283</v>
      </c>
      <c r="H77" s="629">
        <f>2410+2286.2</f>
        <v>4696.2</v>
      </c>
      <c r="I77" s="160">
        <f>финансир!M76</f>
        <v>4695.5542800000003</v>
      </c>
      <c r="J77" s="620" t="s">
        <v>476</v>
      </c>
      <c r="K77" s="863" t="s">
        <v>576</v>
      </c>
      <c r="L77" s="191"/>
      <c r="M77" s="808">
        <f t="shared" si="3"/>
        <v>0.99986250159703605</v>
      </c>
    </row>
    <row r="78" spans="1:14" ht="131.25" customHeight="1" x14ac:dyDescent="0.25">
      <c r="A78" s="189" t="s">
        <v>278</v>
      </c>
      <c r="B78" s="190" t="s">
        <v>234</v>
      </c>
      <c r="C78" s="170" t="s">
        <v>315</v>
      </c>
      <c r="D78" s="172" t="s">
        <v>281</v>
      </c>
      <c r="E78" s="172" t="s">
        <v>281</v>
      </c>
      <c r="F78" s="172" t="s">
        <v>281</v>
      </c>
      <c r="G78" s="172" t="s">
        <v>281</v>
      </c>
      <c r="H78" s="159">
        <v>253.8</v>
      </c>
      <c r="I78" s="160">
        <f>финансир!M77</f>
        <v>250</v>
      </c>
      <c r="J78" s="779" t="s">
        <v>477</v>
      </c>
      <c r="K78" s="620" t="s">
        <v>515</v>
      </c>
      <c r="L78" s="171"/>
      <c r="M78" s="808">
        <f t="shared" si="3"/>
        <v>0.9850275807722616</v>
      </c>
    </row>
    <row r="79" spans="1:14" ht="149.25" customHeight="1" x14ac:dyDescent="0.25">
      <c r="A79" s="189" t="s">
        <v>4</v>
      </c>
      <c r="B79" s="190" t="s">
        <v>25</v>
      </c>
      <c r="C79" s="168" t="s">
        <v>314</v>
      </c>
      <c r="D79" s="172" t="s">
        <v>280</v>
      </c>
      <c r="E79" s="172" t="s">
        <v>281</v>
      </c>
      <c r="F79" s="172" t="s">
        <v>280</v>
      </c>
      <c r="G79" s="172" t="s">
        <v>281</v>
      </c>
      <c r="H79" s="159">
        <f>107920.698+100446.13+72921.346+67348.87</f>
        <v>348637.04399999999</v>
      </c>
      <c r="I79" s="160">
        <f>финансир!M78+финансир!L78</f>
        <v>339697.55706000002</v>
      </c>
      <c r="J79" s="620" t="s">
        <v>478</v>
      </c>
      <c r="K79" s="167" t="s">
        <v>502</v>
      </c>
      <c r="L79" s="191"/>
      <c r="M79" s="808">
        <f t="shared" si="3"/>
        <v>0.97435875764251845</v>
      </c>
    </row>
    <row r="80" spans="1:14" ht="138" customHeight="1" x14ac:dyDescent="0.25">
      <c r="A80" s="189" t="s">
        <v>71</v>
      </c>
      <c r="B80" s="190" t="s">
        <v>26</v>
      </c>
      <c r="C80" s="168" t="s">
        <v>311</v>
      </c>
      <c r="D80" s="172" t="s">
        <v>280</v>
      </c>
      <c r="E80" s="172" t="s">
        <v>281</v>
      </c>
      <c r="F80" s="172" t="s">
        <v>280</v>
      </c>
      <c r="G80" s="172" t="s">
        <v>281</v>
      </c>
      <c r="H80" s="184">
        <f>56.13+55.93</f>
        <v>112.06</v>
      </c>
      <c r="I80" s="160">
        <f>финансир!M79</f>
        <v>111.48134</v>
      </c>
      <c r="J80" s="620" t="s">
        <v>356</v>
      </c>
      <c r="K80" s="167" t="s">
        <v>567</v>
      </c>
      <c r="L80" s="191"/>
      <c r="M80" s="808">
        <f t="shared" si="3"/>
        <v>0.99483615920042834</v>
      </c>
    </row>
    <row r="81" spans="1:14" ht="403.5" customHeight="1" x14ac:dyDescent="0.25">
      <c r="A81" s="189" t="s">
        <v>72</v>
      </c>
      <c r="B81" s="190" t="s">
        <v>235</v>
      </c>
      <c r="C81" s="168" t="s">
        <v>311</v>
      </c>
      <c r="D81" s="172" t="s">
        <v>280</v>
      </c>
      <c r="E81" s="172" t="s">
        <v>281</v>
      </c>
      <c r="F81" s="172" t="s">
        <v>280</v>
      </c>
      <c r="G81" s="172" t="s">
        <v>281</v>
      </c>
      <c r="H81" s="159">
        <f>18288.929+99956.471</f>
        <v>118245.40000000001</v>
      </c>
      <c r="I81" s="160">
        <f>финансир!M80</f>
        <v>118172.76579</v>
      </c>
      <c r="J81" s="620" t="s">
        <v>479</v>
      </c>
      <c r="K81" s="869" t="s">
        <v>577</v>
      </c>
      <c r="L81" s="191"/>
      <c r="M81" s="808">
        <f t="shared" ref="M81:M129" si="4">I81/H81</f>
        <v>0.99938573331393865</v>
      </c>
      <c r="N81" s="726" t="s">
        <v>415</v>
      </c>
    </row>
    <row r="82" spans="1:14" ht="147" customHeight="1" x14ac:dyDescent="0.25">
      <c r="A82" s="189" t="s">
        <v>73</v>
      </c>
      <c r="B82" s="190" t="s">
        <v>236</v>
      </c>
      <c r="C82" s="168" t="s">
        <v>314</v>
      </c>
      <c r="D82" s="172" t="s">
        <v>280</v>
      </c>
      <c r="E82" s="172" t="s">
        <v>283</v>
      </c>
      <c r="F82" s="172" t="s">
        <v>280</v>
      </c>
      <c r="G82" s="172" t="s">
        <v>283</v>
      </c>
      <c r="H82" s="184">
        <f>653.05+545.35</f>
        <v>1198.4000000000001</v>
      </c>
      <c r="I82" s="160">
        <f>финансир!M81</f>
        <v>1194.4532300000001</v>
      </c>
      <c r="J82" s="620" t="s">
        <v>357</v>
      </c>
      <c r="K82" s="167" t="s">
        <v>578</v>
      </c>
      <c r="L82" s="191"/>
      <c r="M82" s="808">
        <f t="shared" si="4"/>
        <v>0.99670663384512681</v>
      </c>
    </row>
    <row r="83" spans="1:14" ht="147" customHeight="1" x14ac:dyDescent="0.25">
      <c r="A83" s="189" t="s">
        <v>74</v>
      </c>
      <c r="B83" s="190" t="s">
        <v>27</v>
      </c>
      <c r="C83" s="168" t="s">
        <v>314</v>
      </c>
      <c r="D83" s="172" t="s">
        <v>280</v>
      </c>
      <c r="E83" s="172" t="s">
        <v>281</v>
      </c>
      <c r="F83" s="172" t="s">
        <v>280</v>
      </c>
      <c r="G83" s="172" t="s">
        <v>281</v>
      </c>
      <c r="H83" s="159">
        <f>310+2980</f>
        <v>3290</v>
      </c>
      <c r="I83" s="160">
        <f>финансир!M82</f>
        <v>3268.3746500000002</v>
      </c>
      <c r="J83" s="622" t="s">
        <v>358</v>
      </c>
      <c r="K83" s="167" t="s">
        <v>568</v>
      </c>
      <c r="L83" s="191"/>
      <c r="M83" s="808">
        <f t="shared" si="4"/>
        <v>0.99342694528875386</v>
      </c>
    </row>
    <row r="84" spans="1:14" ht="147" customHeight="1" x14ac:dyDescent="0.25">
      <c r="A84" s="189" t="s">
        <v>75</v>
      </c>
      <c r="B84" s="190" t="s">
        <v>237</v>
      </c>
      <c r="C84" s="168" t="s">
        <v>314</v>
      </c>
      <c r="D84" s="172" t="s">
        <v>280</v>
      </c>
      <c r="E84" s="172" t="s">
        <v>281</v>
      </c>
      <c r="F84" s="172" t="s">
        <v>280</v>
      </c>
      <c r="G84" s="172" t="s">
        <v>281</v>
      </c>
      <c r="H84" s="184">
        <f>1702.324+1904.936</f>
        <v>3607.26</v>
      </c>
      <c r="I84" s="160">
        <f>финансир!L83</f>
        <v>3607.2605699999999</v>
      </c>
      <c r="J84" s="620" t="s">
        <v>359</v>
      </c>
      <c r="K84" s="167" t="s">
        <v>497</v>
      </c>
      <c r="L84" s="191"/>
      <c r="M84" s="808">
        <f t="shared" si="4"/>
        <v>1.0000001580146702</v>
      </c>
    </row>
    <row r="85" spans="1:14" ht="147" customHeight="1" x14ac:dyDescent="0.25">
      <c r="A85" s="189" t="s">
        <v>76</v>
      </c>
      <c r="B85" s="190" t="s">
        <v>238</v>
      </c>
      <c r="C85" s="168" t="s">
        <v>314</v>
      </c>
      <c r="D85" s="172" t="s">
        <v>280</v>
      </c>
      <c r="E85" s="172" t="s">
        <v>281</v>
      </c>
      <c r="F85" s="172" t="s">
        <v>280</v>
      </c>
      <c r="G85" s="172" t="s">
        <v>281</v>
      </c>
      <c r="H85" s="159">
        <f>108717.551+112517.214</f>
        <v>221234.76500000001</v>
      </c>
      <c r="I85" s="160">
        <f>финансир!L84</f>
        <v>221234.76464000001</v>
      </c>
      <c r="J85" s="620" t="s">
        <v>360</v>
      </c>
      <c r="K85" s="167" t="s">
        <v>498</v>
      </c>
      <c r="L85" s="191"/>
      <c r="M85" s="808">
        <f t="shared" si="4"/>
        <v>0.99999999837276932</v>
      </c>
      <c r="N85" s="725"/>
    </row>
    <row r="86" spans="1:14" ht="147" customHeight="1" x14ac:dyDescent="0.25">
      <c r="A86" s="189" t="s">
        <v>77</v>
      </c>
      <c r="B86" s="190" t="s">
        <v>239</v>
      </c>
      <c r="C86" s="168" t="s">
        <v>314</v>
      </c>
      <c r="D86" s="172" t="s">
        <v>283</v>
      </c>
      <c r="E86" s="172" t="s">
        <v>283</v>
      </c>
      <c r="F86" s="172" t="s">
        <v>283</v>
      </c>
      <c r="G86" s="172" t="s">
        <v>283</v>
      </c>
      <c r="H86" s="159">
        <v>0</v>
      </c>
      <c r="I86" s="160">
        <f>финансир!L85</f>
        <v>0</v>
      </c>
      <c r="J86" s="620"/>
      <c r="K86" s="619" t="s">
        <v>499</v>
      </c>
      <c r="L86" s="191"/>
      <c r="M86" s="808" t="e">
        <f t="shared" si="4"/>
        <v>#DIV/0!</v>
      </c>
    </row>
    <row r="87" spans="1:14" ht="147" customHeight="1" x14ac:dyDescent="0.25">
      <c r="A87" s="189" t="s">
        <v>78</v>
      </c>
      <c r="B87" s="190" t="s">
        <v>240</v>
      </c>
      <c r="C87" s="168" t="s">
        <v>314</v>
      </c>
      <c r="D87" s="172" t="s">
        <v>283</v>
      </c>
      <c r="E87" s="172" t="s">
        <v>283</v>
      </c>
      <c r="F87" s="172" t="s">
        <v>283</v>
      </c>
      <c r="G87" s="172" t="s">
        <v>283</v>
      </c>
      <c r="H87" s="159">
        <v>0</v>
      </c>
      <c r="I87" s="160">
        <f>финансир!L86</f>
        <v>0</v>
      </c>
      <c r="J87" s="620"/>
      <c r="K87" s="619" t="s">
        <v>500</v>
      </c>
      <c r="L87" s="191"/>
      <c r="M87" s="808" t="e">
        <f t="shared" si="4"/>
        <v>#DIV/0!</v>
      </c>
    </row>
    <row r="88" spans="1:14" ht="147" customHeight="1" x14ac:dyDescent="0.25">
      <c r="A88" s="189" t="s">
        <v>79</v>
      </c>
      <c r="B88" s="190" t="s">
        <v>241</v>
      </c>
      <c r="C88" s="168" t="s">
        <v>314</v>
      </c>
      <c r="D88" s="172" t="s">
        <v>280</v>
      </c>
      <c r="E88" s="172" t="s">
        <v>281</v>
      </c>
      <c r="F88" s="172" t="s">
        <v>280</v>
      </c>
      <c r="G88" s="172" t="s">
        <v>281</v>
      </c>
      <c r="H88" s="629">
        <f>9121.252+10193.513</f>
        <v>19314.764999999999</v>
      </c>
      <c r="I88" s="160">
        <f>финансир!L87</f>
        <v>19314.764449999999</v>
      </c>
      <c r="J88" s="620" t="s">
        <v>480</v>
      </c>
      <c r="K88" s="619" t="s">
        <v>501</v>
      </c>
      <c r="L88" s="191"/>
      <c r="M88" s="808">
        <f t="shared" si="4"/>
        <v>0.99999997152437525</v>
      </c>
    </row>
    <row r="89" spans="1:14" s="249" customFormat="1" ht="99.75" customHeight="1" x14ac:dyDescent="0.25">
      <c r="A89" s="189" t="s">
        <v>80</v>
      </c>
      <c r="B89" s="190" t="s">
        <v>242</v>
      </c>
      <c r="C89" s="168" t="s">
        <v>323</v>
      </c>
      <c r="D89" s="172" t="s">
        <v>280</v>
      </c>
      <c r="E89" s="172" t="s">
        <v>281</v>
      </c>
      <c r="F89" s="172" t="s">
        <v>280</v>
      </c>
      <c r="G89" s="172" t="s">
        <v>281</v>
      </c>
      <c r="H89" s="184">
        <f>1921.205+2179.642</f>
        <v>4100.8469999999998</v>
      </c>
      <c r="I89" s="160">
        <f>финансир!L88</f>
        <v>4100.8468300000004</v>
      </c>
      <c r="J89" s="620" t="s">
        <v>481</v>
      </c>
      <c r="K89" s="868" t="s">
        <v>582</v>
      </c>
      <c r="L89" s="256"/>
      <c r="M89" s="808">
        <f t="shared" si="4"/>
        <v>0.99999995854514945</v>
      </c>
    </row>
    <row r="90" spans="1:14" s="249" customFormat="1" ht="99.75" customHeight="1" x14ac:dyDescent="0.25">
      <c r="A90" s="189" t="s">
        <v>81</v>
      </c>
      <c r="B90" s="190" t="s">
        <v>243</v>
      </c>
      <c r="C90" s="168" t="s">
        <v>323</v>
      </c>
      <c r="D90" s="172" t="s">
        <v>280</v>
      </c>
      <c r="E90" s="172" t="s">
        <v>281</v>
      </c>
      <c r="F90" s="172" t="s">
        <v>280</v>
      </c>
      <c r="G90" s="172" t="s">
        <v>281</v>
      </c>
      <c r="H90" s="629">
        <v>0</v>
      </c>
      <c r="I90" s="160">
        <f>финансир!L89</f>
        <v>0</v>
      </c>
      <c r="J90" s="620" t="s">
        <v>115</v>
      </c>
      <c r="K90" s="619" t="s">
        <v>504</v>
      </c>
      <c r="L90" s="191"/>
      <c r="M90" s="808" t="e">
        <f t="shared" si="4"/>
        <v>#DIV/0!</v>
      </c>
    </row>
    <row r="91" spans="1:14" ht="149.25" customHeight="1" x14ac:dyDescent="0.25">
      <c r="A91" s="189" t="s">
        <v>82</v>
      </c>
      <c r="B91" s="190" t="s">
        <v>22</v>
      </c>
      <c r="C91" s="168" t="s">
        <v>323</v>
      </c>
      <c r="D91" s="172" t="s">
        <v>280</v>
      </c>
      <c r="E91" s="172" t="s">
        <v>283</v>
      </c>
      <c r="F91" s="172" t="s">
        <v>280</v>
      </c>
      <c r="G91" s="172" t="s">
        <v>283</v>
      </c>
      <c r="H91" s="159">
        <f>4091.96+4024.06</f>
        <v>8116.02</v>
      </c>
      <c r="I91" s="160">
        <f>финансир!M90</f>
        <v>8116.0209999999997</v>
      </c>
      <c r="J91" s="620" t="s">
        <v>482</v>
      </c>
      <c r="K91" s="167" t="s">
        <v>583</v>
      </c>
      <c r="L91" s="191"/>
      <c r="M91" s="808">
        <f t="shared" si="4"/>
        <v>1.0000001232131019</v>
      </c>
    </row>
    <row r="92" spans="1:14" ht="99.75" customHeight="1" x14ac:dyDescent="0.25">
      <c r="A92" s="189" t="s">
        <v>83</v>
      </c>
      <c r="B92" s="190" t="s">
        <v>229</v>
      </c>
      <c r="C92" s="168" t="s">
        <v>323</v>
      </c>
      <c r="D92" s="172" t="s">
        <v>280</v>
      </c>
      <c r="E92" s="172" t="s">
        <v>281</v>
      </c>
      <c r="F92" s="172" t="s">
        <v>280</v>
      </c>
      <c r="G92" s="172" t="s">
        <v>281</v>
      </c>
      <c r="H92" s="159">
        <f>173209.38+171091.65</f>
        <v>344301.03</v>
      </c>
      <c r="I92" s="160">
        <f>финансир!M91</f>
        <v>344002.97266999999</v>
      </c>
      <c r="J92" s="620" t="s">
        <v>483</v>
      </c>
      <c r="K92" s="167" t="s">
        <v>587</v>
      </c>
      <c r="L92" s="191"/>
      <c r="M92" s="808">
        <f t="shared" si="4"/>
        <v>0.99913431182590406</v>
      </c>
    </row>
    <row r="93" spans="1:14" ht="147.75" customHeight="1" x14ac:dyDescent="0.25">
      <c r="A93" s="189" t="s">
        <v>84</v>
      </c>
      <c r="B93" s="190" t="s">
        <v>230</v>
      </c>
      <c r="C93" s="168" t="s">
        <v>314</v>
      </c>
      <c r="D93" s="172" t="s">
        <v>280</v>
      </c>
      <c r="E93" s="172" t="s">
        <v>281</v>
      </c>
      <c r="F93" s="172" t="s">
        <v>280</v>
      </c>
      <c r="G93" s="172" t="s">
        <v>281</v>
      </c>
      <c r="H93" s="159">
        <f>4319.17+4388.18</f>
        <v>8707.35</v>
      </c>
      <c r="I93" s="160">
        <f>финансир!M92</f>
        <v>8645.33</v>
      </c>
      <c r="J93" s="620" t="s">
        <v>116</v>
      </c>
      <c r="K93" s="169" t="s">
        <v>506</v>
      </c>
      <c r="L93" s="191"/>
      <c r="M93" s="808">
        <f t="shared" si="4"/>
        <v>0.99287728183660928</v>
      </c>
    </row>
    <row r="94" spans="1:14" ht="15" customHeight="1" x14ac:dyDescent="0.25">
      <c r="A94" s="979" t="s">
        <v>68</v>
      </c>
      <c r="B94" s="980"/>
      <c r="C94" s="175"/>
      <c r="D94" s="193"/>
      <c r="E94" s="194"/>
      <c r="F94" s="195"/>
      <c r="G94" s="183"/>
      <c r="H94" s="196"/>
      <c r="I94" s="183"/>
      <c r="J94" s="619"/>
      <c r="K94" s="783"/>
      <c r="L94" s="183"/>
      <c r="M94" s="808" t="e">
        <f t="shared" si="4"/>
        <v>#DIV/0!</v>
      </c>
    </row>
    <row r="95" spans="1:14" ht="111.75" customHeight="1" x14ac:dyDescent="0.25">
      <c r="A95" s="192"/>
      <c r="B95" s="161" t="s">
        <v>264</v>
      </c>
      <c r="C95" s="168" t="s">
        <v>323</v>
      </c>
      <c r="D95" s="193"/>
      <c r="E95" s="257"/>
      <c r="F95" s="197"/>
      <c r="G95" s="198"/>
      <c r="H95" s="199" t="s">
        <v>52</v>
      </c>
      <c r="I95" s="199" t="s">
        <v>52</v>
      </c>
      <c r="J95" s="200">
        <f>'Целевые индикаторы '!D13</f>
        <v>0.86</v>
      </c>
      <c r="K95" s="889">
        <f>'Целевые индикаторы '!E13</f>
        <v>0.86799999999999999</v>
      </c>
      <c r="L95" s="185" t="str">
        <f>'Целевые индикаторы '!G13</f>
        <v>Значение целевого индикатора за I квартал 2017 год  составило 86,8% (целевой индикатор перевыполнен)</v>
      </c>
      <c r="M95" s="808" t="e">
        <f t="shared" si="4"/>
        <v>#VALUE!</v>
      </c>
    </row>
    <row r="96" spans="1:14" ht="231.75" customHeight="1" x14ac:dyDescent="0.25">
      <c r="A96" s="192"/>
      <c r="B96" s="161" t="s">
        <v>153</v>
      </c>
      <c r="C96" s="676" t="s">
        <v>322</v>
      </c>
      <c r="D96" s="193"/>
      <c r="E96" s="257"/>
      <c r="F96" s="197"/>
      <c r="G96" s="198"/>
      <c r="H96" s="199" t="s">
        <v>52</v>
      </c>
      <c r="I96" s="199" t="s">
        <v>52</v>
      </c>
      <c r="J96" s="870">
        <f>'Целевые индикаторы '!D35</f>
        <v>84</v>
      </c>
      <c r="K96" s="871">
        <f>'Целевые индикаторы '!E35</f>
        <v>84</v>
      </c>
      <c r="L96" s="185" t="str">
        <f>'Целевые индикаторы '!G35</f>
        <v>За I полугодие 2017 года значение целевого индикатора выполнено</v>
      </c>
      <c r="M96" s="808" t="e">
        <f t="shared" si="4"/>
        <v>#VALUE!</v>
      </c>
    </row>
    <row r="97" spans="1:13" ht="19.5" customHeight="1" thickBot="1" x14ac:dyDescent="0.35">
      <c r="A97" s="258" t="s">
        <v>50</v>
      </c>
      <c r="B97" s="259" t="s">
        <v>192</v>
      </c>
      <c r="C97" s="169"/>
      <c r="D97" s="260"/>
      <c r="E97" s="260"/>
      <c r="F97" s="260"/>
      <c r="G97" s="261"/>
      <c r="H97" s="262">
        <f>H98+H116</f>
        <v>434</v>
      </c>
      <c r="I97" s="262">
        <f>I98+I116</f>
        <v>1401.87718</v>
      </c>
      <c r="J97" s="847"/>
      <c r="K97" s="848"/>
      <c r="L97" s="263"/>
      <c r="M97" s="808">
        <f t="shared" si="4"/>
        <v>3.2301317511520735</v>
      </c>
    </row>
    <row r="98" spans="1:13" ht="92.25" customHeight="1" x14ac:dyDescent="0.3">
      <c r="A98" s="264" t="s">
        <v>70</v>
      </c>
      <c r="B98" s="255" t="s">
        <v>109</v>
      </c>
      <c r="C98" s="169"/>
      <c r="D98" s="260"/>
      <c r="E98" s="260"/>
      <c r="F98" s="260"/>
      <c r="G98" s="261"/>
      <c r="H98" s="262">
        <f>H99+H102+H106+H114</f>
        <v>434</v>
      </c>
      <c r="I98" s="262">
        <f>I99+I102+I106+I114</f>
        <v>1377.9771799999999</v>
      </c>
      <c r="J98" s="623"/>
      <c r="K98" s="782"/>
      <c r="L98" s="263"/>
      <c r="M98" s="808">
        <f t="shared" si="4"/>
        <v>3.1750626267281103</v>
      </c>
    </row>
    <row r="99" spans="1:13" ht="25.5" x14ac:dyDescent="0.25">
      <c r="A99" s="265" t="s">
        <v>187</v>
      </c>
      <c r="B99" s="266" t="s">
        <v>246</v>
      </c>
      <c r="C99" s="169"/>
      <c r="D99" s="172" t="s">
        <v>282</v>
      </c>
      <c r="E99" s="172" t="s">
        <v>281</v>
      </c>
      <c r="F99" s="172" t="s">
        <v>282</v>
      </c>
      <c r="G99" s="172" t="s">
        <v>281</v>
      </c>
      <c r="H99" s="267">
        <f>H100+H101</f>
        <v>0</v>
      </c>
      <c r="I99" s="267">
        <f>I100+I101</f>
        <v>194.58918</v>
      </c>
      <c r="J99" s="619"/>
      <c r="K99" s="782"/>
      <c r="L99" s="191"/>
      <c r="M99" s="808" t="e">
        <f t="shared" si="4"/>
        <v>#DIV/0!</v>
      </c>
    </row>
    <row r="100" spans="1:13" ht="147" customHeight="1" x14ac:dyDescent="0.25">
      <c r="A100" s="908" t="s">
        <v>110</v>
      </c>
      <c r="B100" s="910" t="s">
        <v>127</v>
      </c>
      <c r="C100" s="169" t="s">
        <v>320</v>
      </c>
      <c r="D100" s="172" t="s">
        <v>281</v>
      </c>
      <c r="E100" s="172" t="s">
        <v>281</v>
      </c>
      <c r="F100" s="172" t="s">
        <v>281</v>
      </c>
      <c r="G100" s="172" t="s">
        <v>281</v>
      </c>
      <c r="H100" s="206">
        <v>0</v>
      </c>
      <c r="I100" s="206">
        <f>финансир!M97</f>
        <v>0</v>
      </c>
      <c r="J100" s="619" t="s">
        <v>353</v>
      </c>
      <c r="K100" s="167" t="s">
        <v>523</v>
      </c>
      <c r="L100" s="161"/>
      <c r="M100" s="808" t="e">
        <f t="shared" si="4"/>
        <v>#DIV/0!</v>
      </c>
    </row>
    <row r="101" spans="1:13" ht="221.25" customHeight="1" x14ac:dyDescent="0.25">
      <c r="A101" s="909"/>
      <c r="B101" s="911"/>
      <c r="C101" s="168" t="s">
        <v>324</v>
      </c>
      <c r="D101" s="172" t="s">
        <v>281</v>
      </c>
      <c r="E101" s="172" t="s">
        <v>281</v>
      </c>
      <c r="F101" s="172" t="s">
        <v>281</v>
      </c>
      <c r="G101" s="172" t="s">
        <v>281</v>
      </c>
      <c r="H101" s="206">
        <v>0</v>
      </c>
      <c r="I101" s="206">
        <f>финансир!L98+финансир!M98</f>
        <v>194.58918</v>
      </c>
      <c r="J101" s="619" t="s">
        <v>353</v>
      </c>
      <c r="K101" s="167" t="s">
        <v>516</v>
      </c>
      <c r="L101" s="161"/>
      <c r="M101" s="808" t="e">
        <f t="shared" si="4"/>
        <v>#DIV/0!</v>
      </c>
    </row>
    <row r="102" spans="1:13" ht="52.5" customHeight="1" x14ac:dyDescent="0.25">
      <c r="A102" s="208" t="s">
        <v>188</v>
      </c>
      <c r="B102" s="247" t="s">
        <v>253</v>
      </c>
      <c r="C102" s="169"/>
      <c r="D102" s="172" t="s">
        <v>280</v>
      </c>
      <c r="E102" s="172" t="s">
        <v>280</v>
      </c>
      <c r="F102" s="172" t="s">
        <v>280</v>
      </c>
      <c r="G102" s="172" t="s">
        <v>280</v>
      </c>
      <c r="H102" s="206">
        <f>H103</f>
        <v>0</v>
      </c>
      <c r="I102" s="206">
        <f>I103</f>
        <v>800</v>
      </c>
      <c r="J102" s="210" t="s">
        <v>111</v>
      </c>
      <c r="K102" s="210" t="s">
        <v>111</v>
      </c>
      <c r="L102" s="976"/>
      <c r="M102" s="808" t="e">
        <f t="shared" si="4"/>
        <v>#DIV/0!</v>
      </c>
    </row>
    <row r="103" spans="1:13" ht="111.75" customHeight="1" x14ac:dyDescent="0.25">
      <c r="A103" s="208" t="s">
        <v>129</v>
      </c>
      <c r="B103" s="247" t="s">
        <v>254</v>
      </c>
      <c r="C103" s="168" t="s">
        <v>323</v>
      </c>
      <c r="D103" s="172" t="s">
        <v>280</v>
      </c>
      <c r="E103" s="172" t="s">
        <v>280</v>
      </c>
      <c r="F103" s="172" t="s">
        <v>280</v>
      </c>
      <c r="G103" s="172" t="s">
        <v>280</v>
      </c>
      <c r="H103" s="206"/>
      <c r="I103" s="206">
        <f>финансир!L110+финансир!M110</f>
        <v>800</v>
      </c>
      <c r="J103" s="619" t="s">
        <v>484</v>
      </c>
      <c r="K103" s="619" t="s">
        <v>402</v>
      </c>
      <c r="L103" s="977"/>
      <c r="M103" s="808" t="e">
        <f t="shared" si="4"/>
        <v>#DIV/0!</v>
      </c>
    </row>
    <row r="104" spans="1:13" ht="38.25" hidden="1" customHeight="1" x14ac:dyDescent="0.25">
      <c r="A104" s="208" t="s">
        <v>40</v>
      </c>
      <c r="B104" s="247" t="s">
        <v>249</v>
      </c>
      <c r="C104" s="175"/>
      <c r="D104" s="172"/>
      <c r="E104" s="172"/>
      <c r="F104" s="172"/>
      <c r="G104" s="172"/>
      <c r="H104" s="206">
        <v>0</v>
      </c>
      <c r="I104" s="201">
        <f>финансир!L106+финансир!M106</f>
        <v>0</v>
      </c>
      <c r="J104" s="167"/>
      <c r="K104" s="781"/>
      <c r="L104" s="191"/>
      <c r="M104" s="808" t="e">
        <f t="shared" si="4"/>
        <v>#DIV/0!</v>
      </c>
    </row>
    <row r="105" spans="1:13" ht="63.75" hidden="1" customHeight="1" x14ac:dyDescent="0.25">
      <c r="A105" s="208" t="s">
        <v>41</v>
      </c>
      <c r="B105" s="247" t="s">
        <v>255</v>
      </c>
      <c r="C105" s="175"/>
      <c r="D105" s="191"/>
      <c r="E105" s="191"/>
      <c r="F105" s="191"/>
      <c r="G105" s="191"/>
      <c r="H105" s="206">
        <v>0</v>
      </c>
      <c r="I105" s="201">
        <f>финансир!L107+финансир!M107</f>
        <v>0</v>
      </c>
      <c r="J105" s="619"/>
      <c r="K105" s="782"/>
      <c r="L105" s="191"/>
      <c r="M105" s="808" t="e">
        <f t="shared" si="4"/>
        <v>#DIV/0!</v>
      </c>
    </row>
    <row r="106" spans="1:13" ht="25.5" x14ac:dyDescent="0.25">
      <c r="A106" s="208" t="s">
        <v>189</v>
      </c>
      <c r="B106" s="247" t="s">
        <v>256</v>
      </c>
      <c r="C106" s="175"/>
      <c r="D106" s="172" t="s">
        <v>280</v>
      </c>
      <c r="E106" s="172" t="s">
        <v>283</v>
      </c>
      <c r="F106" s="172" t="s">
        <v>280</v>
      </c>
      <c r="G106" s="172" t="s">
        <v>283</v>
      </c>
      <c r="H106" s="206">
        <f>H107+H108</f>
        <v>434</v>
      </c>
      <c r="I106" s="206">
        <f>I107+I108</f>
        <v>383.38800000000003</v>
      </c>
      <c r="J106" s="210" t="s">
        <v>111</v>
      </c>
      <c r="K106" s="782"/>
      <c r="L106" s="191"/>
      <c r="M106" s="808">
        <f t="shared" si="4"/>
        <v>0.88338248847926271</v>
      </c>
    </row>
    <row r="107" spans="1:13" ht="165.75" x14ac:dyDescent="0.25">
      <c r="A107" s="208" t="s">
        <v>244</v>
      </c>
      <c r="B107" s="247" t="s">
        <v>361</v>
      </c>
      <c r="C107" s="168" t="s">
        <v>312</v>
      </c>
      <c r="D107" s="172" t="s">
        <v>283</v>
      </c>
      <c r="E107" s="172" t="s">
        <v>283</v>
      </c>
      <c r="F107" s="172" t="s">
        <v>283</v>
      </c>
      <c r="G107" s="172" t="s">
        <v>283</v>
      </c>
      <c r="H107" s="206">
        <v>0</v>
      </c>
      <c r="I107" s="206">
        <f>финансир!M112</f>
        <v>0</v>
      </c>
      <c r="J107" s="210" t="s">
        <v>29</v>
      </c>
      <c r="K107" s="210" t="s">
        <v>29</v>
      </c>
      <c r="L107" s="161" t="s">
        <v>397</v>
      </c>
      <c r="M107" s="808" t="e">
        <f t="shared" si="4"/>
        <v>#DIV/0!</v>
      </c>
    </row>
    <row r="108" spans="1:13" ht="114" customHeight="1" x14ac:dyDescent="0.25">
      <c r="A108" s="208" t="s">
        <v>245</v>
      </c>
      <c r="B108" s="247" t="s">
        <v>362</v>
      </c>
      <c r="C108" s="168" t="s">
        <v>312</v>
      </c>
      <c r="D108" s="172" t="s">
        <v>280</v>
      </c>
      <c r="E108" s="172" t="s">
        <v>283</v>
      </c>
      <c r="F108" s="172" t="s">
        <v>280</v>
      </c>
      <c r="G108" s="172" t="s">
        <v>283</v>
      </c>
      <c r="H108" s="206">
        <f>H109+H110+H111+H112+H113</f>
        <v>434</v>
      </c>
      <c r="I108" s="206">
        <f>I109+I110+I111+I112+I113</f>
        <v>383.38800000000003</v>
      </c>
      <c r="J108" s="624" t="s">
        <v>111</v>
      </c>
      <c r="K108" s="624" t="s">
        <v>111</v>
      </c>
      <c r="L108" s="191"/>
      <c r="M108" s="808">
        <f t="shared" si="4"/>
        <v>0.88338248847926271</v>
      </c>
    </row>
    <row r="109" spans="1:13" ht="120" customHeight="1" x14ac:dyDescent="0.25">
      <c r="A109" s="208" t="s">
        <v>130</v>
      </c>
      <c r="B109" s="247" t="s">
        <v>259</v>
      </c>
      <c r="C109" s="168" t="s">
        <v>312</v>
      </c>
      <c r="D109" s="172" t="s">
        <v>280</v>
      </c>
      <c r="E109" s="172" t="s">
        <v>280</v>
      </c>
      <c r="F109" s="172" t="s">
        <v>280</v>
      </c>
      <c r="G109" s="172" t="s">
        <v>280</v>
      </c>
      <c r="H109" s="206"/>
      <c r="I109" s="206">
        <f>финансир!M114</f>
        <v>70</v>
      </c>
      <c r="J109" s="167"/>
      <c r="K109" s="862" t="s">
        <v>398</v>
      </c>
      <c r="L109" s="161" t="s">
        <v>517</v>
      </c>
      <c r="M109" s="808" t="e">
        <f t="shared" si="4"/>
        <v>#DIV/0!</v>
      </c>
    </row>
    <row r="110" spans="1:13" ht="121.5" customHeight="1" x14ac:dyDescent="0.25">
      <c r="A110" s="208" t="s">
        <v>131</v>
      </c>
      <c r="B110" s="247" t="s">
        <v>260</v>
      </c>
      <c r="C110" s="168" t="s">
        <v>312</v>
      </c>
      <c r="D110" s="172" t="s">
        <v>280</v>
      </c>
      <c r="E110" s="172" t="s">
        <v>280</v>
      </c>
      <c r="F110" s="172" t="s">
        <v>280</v>
      </c>
      <c r="G110" s="172" t="s">
        <v>280</v>
      </c>
      <c r="H110" s="206"/>
      <c r="I110" s="206">
        <f>финансир!M115</f>
        <v>0</v>
      </c>
      <c r="J110" s="167"/>
      <c r="K110" s="169" t="s">
        <v>399</v>
      </c>
      <c r="L110" s="161" t="s">
        <v>518</v>
      </c>
      <c r="M110" s="808" t="e">
        <f t="shared" si="4"/>
        <v>#DIV/0!</v>
      </c>
    </row>
    <row r="111" spans="1:13" ht="243" customHeight="1" x14ac:dyDescent="0.25">
      <c r="A111" s="208" t="s">
        <v>132</v>
      </c>
      <c r="B111" s="247" t="s">
        <v>363</v>
      </c>
      <c r="C111" s="168" t="s">
        <v>312</v>
      </c>
      <c r="D111" s="172" t="s">
        <v>280</v>
      </c>
      <c r="E111" s="172" t="s">
        <v>283</v>
      </c>
      <c r="F111" s="172" t="s">
        <v>280</v>
      </c>
      <c r="G111" s="172" t="s">
        <v>283</v>
      </c>
      <c r="H111" s="206">
        <f>48+96</f>
        <v>144</v>
      </c>
      <c r="I111" s="206">
        <f>финансир!M116</f>
        <v>93.4</v>
      </c>
      <c r="J111" s="167" t="s">
        <v>364</v>
      </c>
      <c r="K111" s="169" t="s">
        <v>519</v>
      </c>
      <c r="L111" s="161" t="s">
        <v>520</v>
      </c>
      <c r="M111" s="808">
        <f t="shared" si="4"/>
        <v>0.64861111111111114</v>
      </c>
    </row>
    <row r="112" spans="1:13" ht="124.5" customHeight="1" x14ac:dyDescent="0.25">
      <c r="A112" s="208" t="s">
        <v>133</v>
      </c>
      <c r="B112" s="247" t="s">
        <v>366</v>
      </c>
      <c r="C112" s="168" t="s">
        <v>312</v>
      </c>
      <c r="D112" s="172" t="s">
        <v>382</v>
      </c>
      <c r="E112" s="172" t="s">
        <v>382</v>
      </c>
      <c r="F112" s="172" t="s">
        <v>382</v>
      </c>
      <c r="G112" s="172" t="s">
        <v>382</v>
      </c>
      <c r="H112" s="206">
        <v>140</v>
      </c>
      <c r="I112" s="206">
        <f>финансир!M117</f>
        <v>69.988</v>
      </c>
      <c r="J112" s="167" t="s">
        <v>365</v>
      </c>
      <c r="K112" s="167" t="s">
        <v>521</v>
      </c>
      <c r="L112" s="161" t="s">
        <v>520</v>
      </c>
      <c r="M112" s="808">
        <f t="shared" si="4"/>
        <v>0.4999142857142857</v>
      </c>
    </row>
    <row r="113" spans="1:13" ht="124.5" customHeight="1" x14ac:dyDescent="0.25">
      <c r="A113" s="208" t="s">
        <v>367</v>
      </c>
      <c r="B113" s="247" t="s">
        <v>368</v>
      </c>
      <c r="C113" s="168" t="s">
        <v>312</v>
      </c>
      <c r="D113" s="172" t="s">
        <v>282</v>
      </c>
      <c r="E113" s="172" t="s">
        <v>282</v>
      </c>
      <c r="F113" s="172" t="s">
        <v>282</v>
      </c>
      <c r="G113" s="172" t="s">
        <v>282</v>
      </c>
      <c r="H113" s="206">
        <v>150</v>
      </c>
      <c r="I113" s="206">
        <f>финансир!M118</f>
        <v>150</v>
      </c>
      <c r="J113" s="167" t="s">
        <v>485</v>
      </c>
      <c r="K113" s="863" t="s">
        <v>522</v>
      </c>
      <c r="L113" s="161" t="s">
        <v>517</v>
      </c>
      <c r="M113" s="808">
        <f t="shared" si="4"/>
        <v>1</v>
      </c>
    </row>
    <row r="114" spans="1:13" x14ac:dyDescent="0.25">
      <c r="A114" s="208" t="s">
        <v>190</v>
      </c>
      <c r="B114" s="247" t="s">
        <v>172</v>
      </c>
      <c r="C114" s="175"/>
      <c r="D114" s="172" t="s">
        <v>282</v>
      </c>
      <c r="E114" s="172" t="s">
        <v>282</v>
      </c>
      <c r="F114" s="172" t="s">
        <v>282</v>
      </c>
      <c r="G114" s="172" t="s">
        <v>282</v>
      </c>
      <c r="H114" s="206">
        <f>H115</f>
        <v>0</v>
      </c>
      <c r="I114" s="206">
        <f>I115</f>
        <v>0</v>
      </c>
      <c r="J114" s="624" t="s">
        <v>111</v>
      </c>
      <c r="K114" s="624" t="s">
        <v>111</v>
      </c>
      <c r="L114" s="191"/>
      <c r="M114" s="808" t="e">
        <f t="shared" si="4"/>
        <v>#DIV/0!</v>
      </c>
    </row>
    <row r="115" spans="1:13" ht="126.75" customHeight="1" x14ac:dyDescent="0.25">
      <c r="A115" s="268" t="s">
        <v>134</v>
      </c>
      <c r="B115" s="247" t="s">
        <v>263</v>
      </c>
      <c r="C115" s="168" t="s">
        <v>312</v>
      </c>
      <c r="D115" s="172" t="s">
        <v>282</v>
      </c>
      <c r="E115" s="172" t="s">
        <v>282</v>
      </c>
      <c r="F115" s="172" t="s">
        <v>282</v>
      </c>
      <c r="G115" s="172" t="s">
        <v>282</v>
      </c>
      <c r="H115" s="206">
        <v>0</v>
      </c>
      <c r="I115" s="201">
        <f>финансир!M120</f>
        <v>0</v>
      </c>
      <c r="J115" s="167" t="s">
        <v>486</v>
      </c>
      <c r="K115" s="167" t="s">
        <v>401</v>
      </c>
      <c r="L115" s="161"/>
      <c r="M115" s="808" t="e">
        <f t="shared" si="4"/>
        <v>#DIV/0!</v>
      </c>
    </row>
    <row r="116" spans="1:13" ht="86.25" customHeight="1" x14ac:dyDescent="0.25">
      <c r="A116" s="269" t="s">
        <v>105</v>
      </c>
      <c r="B116" s="270" t="s">
        <v>122</v>
      </c>
      <c r="C116" s="202"/>
      <c r="D116" s="172" t="s">
        <v>281</v>
      </c>
      <c r="E116" s="172" t="s">
        <v>281</v>
      </c>
      <c r="F116" s="172" t="s">
        <v>281</v>
      </c>
      <c r="G116" s="172" t="s">
        <v>281</v>
      </c>
      <c r="H116" s="267">
        <f>H117</f>
        <v>0</v>
      </c>
      <c r="I116" s="267">
        <f>I117</f>
        <v>23.9</v>
      </c>
      <c r="J116" s="172" t="s">
        <v>111</v>
      </c>
      <c r="K116" s="785"/>
      <c r="L116" s="161"/>
      <c r="M116" s="808" t="e">
        <f t="shared" si="4"/>
        <v>#DIV/0!</v>
      </c>
    </row>
    <row r="117" spans="1:13" ht="114.75" customHeight="1" x14ac:dyDescent="0.25">
      <c r="A117" s="271" t="s">
        <v>19</v>
      </c>
      <c r="B117" s="247" t="s">
        <v>279</v>
      </c>
      <c r="C117" s="168" t="s">
        <v>312</v>
      </c>
      <c r="D117" s="172" t="s">
        <v>281</v>
      </c>
      <c r="E117" s="172" t="s">
        <v>281</v>
      </c>
      <c r="F117" s="172" t="s">
        <v>281</v>
      </c>
      <c r="G117" s="172" t="s">
        <v>281</v>
      </c>
      <c r="H117" s="206">
        <v>0</v>
      </c>
      <c r="I117" s="201">
        <f>финансир!L122+финансир!M122</f>
        <v>23.9</v>
      </c>
      <c r="J117" s="167" t="s">
        <v>29</v>
      </c>
      <c r="K117" s="685" t="s">
        <v>400</v>
      </c>
      <c r="L117" s="191"/>
      <c r="M117" s="808" t="e">
        <f t="shared" si="4"/>
        <v>#DIV/0!</v>
      </c>
    </row>
    <row r="118" spans="1:13" x14ac:dyDescent="0.25">
      <c r="A118" s="979" t="s">
        <v>265</v>
      </c>
      <c r="B118" s="980"/>
      <c r="C118" s="203"/>
      <c r="D118" s="204"/>
      <c r="E118" s="182"/>
      <c r="F118" s="183"/>
      <c r="G118" s="183"/>
      <c r="H118" s="272"/>
      <c r="I118" s="160"/>
      <c r="J118" s="619"/>
      <c r="K118" s="783"/>
      <c r="L118" s="183"/>
      <c r="M118" s="808" t="e">
        <f t="shared" si="4"/>
        <v>#DIV/0!</v>
      </c>
    </row>
    <row r="119" spans="1:13" ht="123" customHeight="1" x14ac:dyDescent="0.25">
      <c r="A119" s="192"/>
      <c r="B119" s="161" t="s">
        <v>58</v>
      </c>
      <c r="C119" s="168" t="s">
        <v>312</v>
      </c>
      <c r="D119" s="193"/>
      <c r="E119" s="257"/>
      <c r="F119" s="197"/>
      <c r="G119" s="198"/>
      <c r="H119" s="199" t="s">
        <v>52</v>
      </c>
      <c r="I119" s="199" t="s">
        <v>52</v>
      </c>
      <c r="J119" s="872">
        <f>'Целевые индикаторы '!D15</f>
        <v>100</v>
      </c>
      <c r="K119" s="867">
        <f>'Целевые индикаторы '!E15</f>
        <v>100</v>
      </c>
      <c r="L119" s="206" t="str">
        <f>'Целевые индикаторы '!G15</f>
        <v>Значение целевого индикатора за I полугодие 2017 год составило 100% (целевой индикатор выполнен)</v>
      </c>
      <c r="M119" s="808" t="e">
        <f t="shared" si="4"/>
        <v>#VALUE!</v>
      </c>
    </row>
    <row r="120" spans="1:13" ht="126" customHeight="1" x14ac:dyDescent="0.25">
      <c r="A120" s="192"/>
      <c r="B120" s="161" t="s">
        <v>53</v>
      </c>
      <c r="C120" s="168" t="s">
        <v>312</v>
      </c>
      <c r="D120" s="193"/>
      <c r="E120" s="257"/>
      <c r="F120" s="197"/>
      <c r="G120" s="198"/>
      <c r="H120" s="199" t="s">
        <v>52</v>
      </c>
      <c r="I120" s="797" t="s">
        <v>52</v>
      </c>
      <c r="J120" s="873">
        <f>'Целевые индикаторы '!D16</f>
        <v>17</v>
      </c>
      <c r="K120" s="874">
        <f>'Целевые индикаторы '!E16</f>
        <v>17</v>
      </c>
      <c r="L120" s="206" t="str">
        <f>'Целевые индикаторы '!G16</f>
        <v>Значение целевого индикатора за I полугодие 2017 год составило 100% (целевой индикатор выполнен)</v>
      </c>
      <c r="M120" s="808" t="e">
        <f t="shared" si="4"/>
        <v>#VALUE!</v>
      </c>
    </row>
    <row r="121" spans="1:13" ht="126.75" customHeight="1" x14ac:dyDescent="0.25">
      <c r="A121" s="192"/>
      <c r="B121" s="161" t="s">
        <v>59</v>
      </c>
      <c r="C121" s="168" t="s">
        <v>312</v>
      </c>
      <c r="D121" s="193"/>
      <c r="E121" s="257"/>
      <c r="F121" s="197"/>
      <c r="G121" s="198"/>
      <c r="H121" s="199" t="s">
        <v>52</v>
      </c>
      <c r="I121" s="199" t="s">
        <v>52</v>
      </c>
      <c r="J121" s="875">
        <f>'Целевые индикаторы '!D17</f>
        <v>2.9</v>
      </c>
      <c r="K121" s="876">
        <f>'Целевые индикаторы '!E17</f>
        <v>2.9</v>
      </c>
      <c r="L121" s="206" t="str">
        <f>'Целевые индикаторы '!G17</f>
        <v>Значение целевого индикатора за I полугодие 2017 год составило 100% (целевой индикатор выполнен)</v>
      </c>
      <c r="M121" s="808" t="e">
        <f t="shared" si="4"/>
        <v>#VALUE!</v>
      </c>
    </row>
    <row r="122" spans="1:13" ht="39" thickBot="1" x14ac:dyDescent="0.3">
      <c r="A122" s="273" t="s">
        <v>193</v>
      </c>
      <c r="B122" s="270" t="s">
        <v>135</v>
      </c>
      <c r="C122" s="207"/>
      <c r="D122" s="172"/>
      <c r="E122" s="172"/>
      <c r="F122" s="172"/>
      <c r="G122" s="172"/>
      <c r="H122" s="274">
        <f>H123</f>
        <v>104902.73086</v>
      </c>
      <c r="I122" s="274">
        <f>I123</f>
        <v>96621.28</v>
      </c>
      <c r="J122" s="619"/>
      <c r="K122" s="786"/>
      <c r="L122" s="191"/>
      <c r="M122" s="808">
        <f t="shared" si="4"/>
        <v>0.92105590777181801</v>
      </c>
    </row>
    <row r="123" spans="1:13" ht="69.75" customHeight="1" x14ac:dyDescent="0.25">
      <c r="A123" s="264" t="s">
        <v>70</v>
      </c>
      <c r="B123" s="255" t="s">
        <v>136</v>
      </c>
      <c r="C123" s="207"/>
      <c r="D123" s="172"/>
      <c r="E123" s="172"/>
      <c r="F123" s="172"/>
      <c r="G123" s="172"/>
      <c r="H123" s="274">
        <f>SUM(H124:H129)</f>
        <v>104902.73086</v>
      </c>
      <c r="I123" s="274">
        <f>I124+I125+I126+I127+I128+I129</f>
        <v>96621.28</v>
      </c>
      <c r="J123" s="619"/>
      <c r="K123" s="786"/>
      <c r="L123" s="191"/>
      <c r="M123" s="808">
        <f t="shared" si="4"/>
        <v>0.92105590777181801</v>
      </c>
    </row>
    <row r="124" spans="1:13" ht="285" customHeight="1" x14ac:dyDescent="0.25">
      <c r="A124" s="686" t="s">
        <v>187</v>
      </c>
      <c r="B124" s="851" t="s">
        <v>174</v>
      </c>
      <c r="C124" s="687" t="s">
        <v>369</v>
      </c>
      <c r="D124" s="172" t="s">
        <v>280</v>
      </c>
      <c r="E124" s="172" t="s">
        <v>281</v>
      </c>
      <c r="F124" s="172" t="s">
        <v>280</v>
      </c>
      <c r="G124" s="172" t="s">
        <v>281</v>
      </c>
      <c r="H124" s="688">
        <f>1580.408+10932.12486</f>
        <v>12512.532859999999</v>
      </c>
      <c r="I124" s="201">
        <f>финансир!M127</f>
        <v>10030.111000000001</v>
      </c>
      <c r="J124" s="779" t="s">
        <v>431</v>
      </c>
      <c r="K124" s="877" t="s">
        <v>432</v>
      </c>
      <c r="L124" s="878" t="s">
        <v>433</v>
      </c>
      <c r="M124" s="808">
        <f t="shared" si="4"/>
        <v>0.80160516757276279</v>
      </c>
    </row>
    <row r="125" spans="1:13" ht="68.25" customHeight="1" x14ac:dyDescent="0.25">
      <c r="A125" s="271" t="s">
        <v>188</v>
      </c>
      <c r="B125" s="161" t="s">
        <v>47</v>
      </c>
      <c r="C125" s="687" t="s">
        <v>369</v>
      </c>
      <c r="D125" s="172" t="s">
        <v>280</v>
      </c>
      <c r="E125" s="172" t="s">
        <v>281</v>
      </c>
      <c r="F125" s="172" t="s">
        <v>280</v>
      </c>
      <c r="G125" s="172" t="s">
        <v>281</v>
      </c>
      <c r="H125" s="688">
        <f>56.085+423.713</f>
        <v>479.798</v>
      </c>
      <c r="I125" s="201">
        <f>финансир!M128</f>
        <v>320.71100000000001</v>
      </c>
      <c r="J125" s="779" t="s">
        <v>434</v>
      </c>
      <c r="K125" s="877" t="s">
        <v>525</v>
      </c>
      <c r="L125" s="689"/>
      <c r="M125" s="808">
        <f t="shared" si="4"/>
        <v>0.66842921396087518</v>
      </c>
    </row>
    <row r="126" spans="1:13" s="249" customFormat="1" ht="392.25" customHeight="1" x14ac:dyDescent="0.25">
      <c r="A126" s="271" t="s">
        <v>189</v>
      </c>
      <c r="B126" s="161" t="s">
        <v>45</v>
      </c>
      <c r="C126" s="687" t="s">
        <v>369</v>
      </c>
      <c r="D126" s="172" t="s">
        <v>280</v>
      </c>
      <c r="E126" s="172" t="s">
        <v>283</v>
      </c>
      <c r="F126" s="172" t="s">
        <v>280</v>
      </c>
      <c r="G126" s="172" t="s">
        <v>283</v>
      </c>
      <c r="H126" s="688">
        <v>520</v>
      </c>
      <c r="I126" s="201">
        <f>финансир!M129</f>
        <v>358.68</v>
      </c>
      <c r="J126" s="779" t="s">
        <v>435</v>
      </c>
      <c r="K126" s="879" t="s">
        <v>436</v>
      </c>
      <c r="L126" s="191"/>
      <c r="M126" s="808">
        <f t="shared" si="4"/>
        <v>0.6897692307692308</v>
      </c>
    </row>
    <row r="127" spans="1:13" s="249" customFormat="1" ht="141" customHeight="1" x14ac:dyDescent="0.25">
      <c r="A127" s="690" t="s">
        <v>190</v>
      </c>
      <c r="B127" s="161" t="s">
        <v>487</v>
      </c>
      <c r="C127" s="687" t="s">
        <v>369</v>
      </c>
      <c r="D127" s="172" t="s">
        <v>383</v>
      </c>
      <c r="E127" s="172" t="s">
        <v>383</v>
      </c>
      <c r="F127" s="172" t="s">
        <v>383</v>
      </c>
      <c r="G127" s="172" t="s">
        <v>383</v>
      </c>
      <c r="H127" s="688">
        <v>0</v>
      </c>
      <c r="I127" s="201">
        <f>финансир!M130</f>
        <v>0</v>
      </c>
      <c r="J127" s="172" t="s">
        <v>29</v>
      </c>
      <c r="K127" s="210" t="s">
        <v>437</v>
      </c>
      <c r="L127" s="191"/>
      <c r="M127" s="808" t="e">
        <f t="shared" si="4"/>
        <v>#DIV/0!</v>
      </c>
    </row>
    <row r="128" spans="1:13" s="249" customFormat="1" ht="131.25" customHeight="1" x14ac:dyDescent="0.25">
      <c r="A128" s="271" t="s">
        <v>191</v>
      </c>
      <c r="B128" s="161" t="s">
        <v>138</v>
      </c>
      <c r="C128" s="687" t="s">
        <v>369</v>
      </c>
      <c r="D128" s="172" t="s">
        <v>384</v>
      </c>
      <c r="E128" s="172" t="s">
        <v>384</v>
      </c>
      <c r="F128" s="172" t="s">
        <v>384</v>
      </c>
      <c r="G128" s="172" t="s">
        <v>384</v>
      </c>
      <c r="H128" s="688">
        <v>27.4</v>
      </c>
      <c r="I128" s="201">
        <f>финансир!M131</f>
        <v>27.4</v>
      </c>
      <c r="J128" s="794" t="s">
        <v>488</v>
      </c>
      <c r="K128" s="794" t="s">
        <v>438</v>
      </c>
      <c r="L128" s="191"/>
      <c r="M128" s="808">
        <f t="shared" si="4"/>
        <v>1</v>
      </c>
    </row>
    <row r="129" spans="1:13" ht="130.5" customHeight="1" x14ac:dyDescent="0.25">
      <c r="A129" s="271" t="s">
        <v>17</v>
      </c>
      <c r="B129" s="161" t="s">
        <v>309</v>
      </c>
      <c r="C129" s="687" t="s">
        <v>369</v>
      </c>
      <c r="D129" s="172" t="s">
        <v>280</v>
      </c>
      <c r="E129" s="172" t="s">
        <v>281</v>
      </c>
      <c r="F129" s="172" t="s">
        <v>280</v>
      </c>
      <c r="G129" s="172" t="s">
        <v>281</v>
      </c>
      <c r="H129" s="688">
        <f>65000+26363</f>
        <v>91363</v>
      </c>
      <c r="I129" s="201">
        <f>финансир!L132</f>
        <v>85884.377999999997</v>
      </c>
      <c r="J129" s="779" t="s">
        <v>439</v>
      </c>
      <c r="K129" s="700" t="s">
        <v>526</v>
      </c>
      <c r="L129" s="192"/>
      <c r="M129" s="808">
        <f t="shared" si="4"/>
        <v>0.94003456541488351</v>
      </c>
    </row>
    <row r="130" spans="1:13" x14ac:dyDescent="0.25">
      <c r="A130" s="979" t="s">
        <v>266</v>
      </c>
      <c r="B130" s="980"/>
      <c r="C130" s="203"/>
      <c r="D130" s="204"/>
      <c r="E130" s="182"/>
      <c r="F130" s="197"/>
      <c r="G130" s="198"/>
      <c r="H130" s="198"/>
      <c r="I130" s="198"/>
      <c r="J130" s="622"/>
      <c r="K130" s="783"/>
      <c r="L130" s="183"/>
      <c r="M130" s="808" t="e">
        <f t="shared" ref="M130:M162" si="5">I130/H130</f>
        <v>#DIV/0!</v>
      </c>
    </row>
    <row r="131" spans="1:13" ht="142.5" customHeight="1" x14ac:dyDescent="0.25">
      <c r="A131" s="192"/>
      <c r="B131" s="161" t="s">
        <v>267</v>
      </c>
      <c r="C131" s="691" t="s">
        <v>369</v>
      </c>
      <c r="D131" s="692"/>
      <c r="E131" s="257"/>
      <c r="F131" s="693"/>
      <c r="G131" s="694"/>
      <c r="H131" s="694"/>
      <c r="I131" s="694"/>
      <c r="J131" s="695">
        <f>'Целевые индикаторы '!D19</f>
        <v>0.6</v>
      </c>
      <c r="K131" s="880">
        <f>'Целевые индикаторы '!E19</f>
        <v>0.48</v>
      </c>
      <c r="L131" s="247" t="str">
        <f>'Целевые индикаторы '!G19</f>
        <v>По состоянию на 01.07.2017 численность безработных граждан, зарегистрированных в государственных учреждениях службы занятости населения, составила 3133 человек. Уровень регистрируемой безработицы составил 0,48%</v>
      </c>
      <c r="M131" s="808" t="e">
        <v>#DIV/0!</v>
      </c>
    </row>
    <row r="132" spans="1:13" ht="152.25" customHeight="1" x14ac:dyDescent="0.25">
      <c r="A132" s="192"/>
      <c r="B132" s="161" t="s">
        <v>370</v>
      </c>
      <c r="C132" s="691" t="s">
        <v>369</v>
      </c>
      <c r="D132" s="692"/>
      <c r="E132" s="257"/>
      <c r="F132" s="693"/>
      <c r="G132" s="694"/>
      <c r="H132" s="694"/>
      <c r="I132" s="694"/>
      <c r="J132" s="696">
        <f>'Целевые индикаторы '!D20</f>
        <v>249</v>
      </c>
      <c r="K132" s="696">
        <f>'Целевые индикаторы '!E20</f>
        <v>213</v>
      </c>
      <c r="L132" s="798" t="str">
        <f>'Целевые индикаторы '!G20</f>
        <v>В мероприятии приняло участие 3 предприятия. Численность участников-213 человек. Сложившийся показатель образовался в связи с тем, что работники отсутствовали на своих рабочих местах по причине временой нетрудоспособности или находились в отпусках.</v>
      </c>
      <c r="M132" s="808"/>
    </row>
    <row r="133" spans="1:13" ht="51" customHeight="1" x14ac:dyDescent="0.25">
      <c r="A133" s="192"/>
      <c r="B133" s="161" t="s">
        <v>298</v>
      </c>
      <c r="C133" s="691" t="s">
        <v>369</v>
      </c>
      <c r="D133" s="692"/>
      <c r="E133" s="257"/>
      <c r="F133" s="697"/>
      <c r="G133" s="698"/>
      <c r="H133" s="698"/>
      <c r="I133" s="698"/>
      <c r="J133" s="699">
        <f>'Целевые индикаторы '!D22</f>
        <v>5500</v>
      </c>
      <c r="K133" s="881">
        <f>'Целевые индикаторы '!E22</f>
        <v>5571</v>
      </c>
      <c r="L133" s="161" t="str">
        <f>'Целевые индикаторы '!G22</f>
        <v>Количество работников прошедших обучение в пнрвом полугодии 2017 года- 5571 человек</v>
      </c>
      <c r="M133" s="808" t="e">
        <v>#DIV/0!</v>
      </c>
    </row>
    <row r="134" spans="1:13" ht="87" customHeight="1" x14ac:dyDescent="0.25">
      <c r="A134" s="192"/>
      <c r="B134" s="700" t="s">
        <v>371</v>
      </c>
      <c r="C134" s="691" t="s">
        <v>369</v>
      </c>
      <c r="D134" s="692"/>
      <c r="E134" s="257"/>
      <c r="F134" s="693"/>
      <c r="G134" s="694"/>
      <c r="H134" s="694"/>
      <c r="I134" s="694"/>
      <c r="J134" s="701">
        <f>'Целевые индикаторы '!D21</f>
        <v>42300</v>
      </c>
      <c r="K134" s="882">
        <f>'Целевые индикаторы '!E21</f>
        <v>57373</v>
      </c>
      <c r="L134" s="799" t="str">
        <f>'Целевые индикаторы '!G21</f>
        <v xml:space="preserve">Количество получателей государственных услуг в сфере занятости  составило  57373 человек. </v>
      </c>
      <c r="M134" s="808" t="e">
        <v>#DIV/0!</v>
      </c>
    </row>
    <row r="135" spans="1:13" ht="102" customHeight="1" x14ac:dyDescent="0.25">
      <c r="A135" s="192"/>
      <c r="B135" s="161" t="s">
        <v>372</v>
      </c>
      <c r="C135" s="691" t="s">
        <v>369</v>
      </c>
      <c r="D135" s="692"/>
      <c r="E135" s="257"/>
      <c r="F135" s="693"/>
      <c r="G135" s="694"/>
      <c r="H135" s="694"/>
      <c r="I135" s="694"/>
      <c r="J135" s="702">
        <f>'Целевые индикаторы '!D23</f>
        <v>255</v>
      </c>
      <c r="K135" s="702">
        <f>'Целевые индикаторы '!E23</f>
        <v>122</v>
      </c>
      <c r="L135" s="703" t="str">
        <f>'Целевые индикаторы '!G23</f>
        <v>За первое полугодие 2017 года численность пострадавших в результате несчастных случаев составила 122 человека</v>
      </c>
      <c r="M135" s="808" t="e">
        <v>#DIV/0!</v>
      </c>
    </row>
    <row r="136" spans="1:13" ht="60.75" customHeight="1" x14ac:dyDescent="0.25">
      <c r="A136" s="192"/>
      <c r="B136" s="161" t="s">
        <v>373</v>
      </c>
      <c r="C136" s="691" t="s">
        <v>369</v>
      </c>
      <c r="D136" s="692"/>
      <c r="E136" s="257"/>
      <c r="F136" s="693"/>
      <c r="G136" s="694"/>
      <c r="H136" s="694"/>
      <c r="I136" s="694"/>
      <c r="J136" s="704">
        <f>'Целевые индикаторы '!D24</f>
        <v>9000</v>
      </c>
      <c r="K136" s="880">
        <f>'Целевые индикаторы '!E24</f>
        <v>13380</v>
      </c>
      <c r="L136" s="161" t="str">
        <f>'Целевые индикаторы '!G24</f>
        <v>За первое полугодие 2017 года специальная оценка условий труда проведена на 13380 рабочих местах</v>
      </c>
      <c r="M136" s="808" t="e">
        <v>#DIV/0!</v>
      </c>
    </row>
    <row r="137" spans="1:13" ht="44.25" customHeight="1" x14ac:dyDescent="0.25">
      <c r="A137" s="192"/>
      <c r="B137" s="161" t="s">
        <v>291</v>
      </c>
      <c r="C137" s="691" t="s">
        <v>369</v>
      </c>
      <c r="D137" s="692"/>
      <c r="E137" s="257"/>
      <c r="F137" s="693"/>
      <c r="G137" s="694"/>
      <c r="H137" s="694"/>
      <c r="I137" s="694"/>
      <c r="J137" s="985" t="s">
        <v>374</v>
      </c>
      <c r="K137" s="986"/>
      <c r="L137" s="987"/>
      <c r="M137" s="808" t="e">
        <v>#DIV/0!</v>
      </c>
    </row>
    <row r="138" spans="1:13" ht="42" customHeight="1" x14ac:dyDescent="0.25">
      <c r="A138" s="192"/>
      <c r="B138" s="700" t="s">
        <v>292</v>
      </c>
      <c r="C138" s="691" t="s">
        <v>369</v>
      </c>
      <c r="D138" s="193"/>
      <c r="E138" s="257"/>
      <c r="F138" s="697"/>
      <c r="G138" s="698"/>
      <c r="H138" s="698"/>
      <c r="I138" s="698"/>
      <c r="J138" s="988"/>
      <c r="K138" s="989"/>
      <c r="L138" s="990"/>
      <c r="M138" s="808" t="e">
        <f t="shared" si="5"/>
        <v>#DIV/0!</v>
      </c>
    </row>
    <row r="139" spans="1:13" ht="57.75" customHeight="1" x14ac:dyDescent="0.25">
      <c r="A139" s="279" t="s">
        <v>194</v>
      </c>
      <c r="B139" s="280" t="s">
        <v>175</v>
      </c>
      <c r="C139" s="164"/>
      <c r="D139" s="250"/>
      <c r="E139" s="250"/>
      <c r="F139" s="250"/>
      <c r="G139" s="250"/>
      <c r="H139" s="281">
        <f>H140</f>
        <v>965.47964000000002</v>
      </c>
      <c r="I139" s="281">
        <f>I140</f>
        <v>965.47810000000004</v>
      </c>
      <c r="J139" s="849"/>
      <c r="K139" s="787"/>
      <c r="L139" s="191"/>
      <c r="M139" s="808">
        <f t="shared" si="5"/>
        <v>0.9999984049378815</v>
      </c>
    </row>
    <row r="140" spans="1:13" ht="57.75" customHeight="1" x14ac:dyDescent="0.25">
      <c r="A140" s="246" t="s">
        <v>70</v>
      </c>
      <c r="B140" s="270" t="s">
        <v>140</v>
      </c>
      <c r="C140" s="175"/>
      <c r="D140" s="250"/>
      <c r="E140" s="250"/>
      <c r="F140" s="250"/>
      <c r="G140" s="250"/>
      <c r="H140" s="281">
        <f>H141+H142+H143</f>
        <v>965.47964000000002</v>
      </c>
      <c r="I140" s="281">
        <f>I141+I142+I143</f>
        <v>965.47810000000004</v>
      </c>
      <c r="J140" s="625"/>
      <c r="K140" s="787"/>
      <c r="L140" s="191"/>
      <c r="M140" s="808">
        <f t="shared" si="5"/>
        <v>0.9999984049378815</v>
      </c>
    </row>
    <row r="141" spans="1:13" ht="48.75" customHeight="1" x14ac:dyDescent="0.25">
      <c r="A141" s="705" t="s">
        <v>187</v>
      </c>
      <c r="B141" s="161" t="s">
        <v>141</v>
      </c>
      <c r="C141" s="687" t="s">
        <v>369</v>
      </c>
      <c r="D141" s="172" t="s">
        <v>282</v>
      </c>
      <c r="E141" s="172" t="s">
        <v>281</v>
      </c>
      <c r="F141" s="172" t="s">
        <v>282</v>
      </c>
      <c r="G141" s="172" t="s">
        <v>281</v>
      </c>
      <c r="H141" s="688">
        <v>279.98910000000001</v>
      </c>
      <c r="I141" s="201">
        <f>финансир!M139</f>
        <v>278.55459999999999</v>
      </c>
      <c r="J141" s="795" t="s">
        <v>440</v>
      </c>
      <c r="K141" s="877" t="s">
        <v>441</v>
      </c>
      <c r="L141" s="801" t="s">
        <v>392</v>
      </c>
      <c r="M141" s="808">
        <f t="shared" si="5"/>
        <v>0.99487658626710818</v>
      </c>
    </row>
    <row r="142" spans="1:13" ht="69.75" customHeight="1" x14ac:dyDescent="0.25">
      <c r="A142" s="705" t="s">
        <v>188</v>
      </c>
      <c r="B142" s="855" t="s">
        <v>31</v>
      </c>
      <c r="C142" s="687" t="s">
        <v>369</v>
      </c>
      <c r="D142" s="172" t="s">
        <v>282</v>
      </c>
      <c r="E142" s="172" t="s">
        <v>283</v>
      </c>
      <c r="F142" s="172" t="s">
        <v>282</v>
      </c>
      <c r="G142" s="172" t="s">
        <v>283</v>
      </c>
      <c r="H142" s="688"/>
      <c r="I142" s="201">
        <f>финансир!M140</f>
        <v>4.9444999999999997</v>
      </c>
      <c r="J142" s="620"/>
      <c r="K142" s="619"/>
      <c r="L142" s="161" t="s">
        <v>393</v>
      </c>
      <c r="M142" s="808" t="e">
        <f t="shared" si="5"/>
        <v>#DIV/0!</v>
      </c>
    </row>
    <row r="143" spans="1:13" ht="92.25" customHeight="1" x14ac:dyDescent="0.25">
      <c r="A143" s="705" t="s">
        <v>189</v>
      </c>
      <c r="B143" s="161" t="s">
        <v>386</v>
      </c>
      <c r="C143" s="687" t="s">
        <v>369</v>
      </c>
      <c r="D143" s="172" t="s">
        <v>282</v>
      </c>
      <c r="E143" s="172" t="s">
        <v>281</v>
      </c>
      <c r="F143" s="172" t="s">
        <v>282</v>
      </c>
      <c r="G143" s="172" t="s">
        <v>281</v>
      </c>
      <c r="H143" s="688">
        <v>685.49054000000001</v>
      </c>
      <c r="I143" s="201">
        <f>финансир!L141</f>
        <v>681.97900000000004</v>
      </c>
      <c r="J143" s="795" t="s">
        <v>440</v>
      </c>
      <c r="K143" s="877" t="s">
        <v>441</v>
      </c>
      <c r="L143" s="801" t="s">
        <v>392</v>
      </c>
      <c r="M143" s="808">
        <f t="shared" si="5"/>
        <v>0.99487733266165868</v>
      </c>
    </row>
    <row r="144" spans="1:13" x14ac:dyDescent="0.25">
      <c r="A144" s="979" t="s">
        <v>268</v>
      </c>
      <c r="B144" s="980"/>
      <c r="C144" s="175"/>
      <c r="D144" s="204"/>
      <c r="E144" s="211"/>
      <c r="F144" s="212"/>
      <c r="G144" s="212"/>
      <c r="H144" s="213"/>
      <c r="I144" s="212"/>
      <c r="J144" s="626"/>
      <c r="K144" s="788"/>
      <c r="L144" s="802"/>
      <c r="M144" s="808" t="e">
        <f t="shared" si="5"/>
        <v>#DIV/0!</v>
      </c>
    </row>
    <row r="145" spans="1:13" ht="118.5" customHeight="1" x14ac:dyDescent="0.25">
      <c r="A145" s="192"/>
      <c r="B145" s="161" t="s">
        <v>272</v>
      </c>
      <c r="C145" s="687" t="s">
        <v>369</v>
      </c>
      <c r="D145" s="193"/>
      <c r="E145" s="172"/>
      <c r="F145" s="693"/>
      <c r="G145" s="694"/>
      <c r="H145" s="694"/>
      <c r="I145" s="694"/>
      <c r="J145" s="706">
        <f>'Целевые индикаторы '!D29</f>
        <v>220</v>
      </c>
      <c r="K145" s="880">
        <f>'Целевые индикаторы '!E29</f>
        <v>584</v>
      </c>
      <c r="L145" s="161" t="str">
        <f>'Целевые индикаторы '!G29</f>
        <v>Количество прибывших в Ульяновскую область соотечественников за первое полугодие 2017 года составила 584 человека. Программа пользуется популярностью.</v>
      </c>
      <c r="M145" s="808" t="e">
        <f t="shared" si="5"/>
        <v>#DIV/0!</v>
      </c>
    </row>
    <row r="146" spans="1:13" ht="51" hidden="1" customHeight="1" x14ac:dyDescent="0.25">
      <c r="A146" s="192"/>
      <c r="B146" s="161" t="s">
        <v>2</v>
      </c>
      <c r="C146" s="691" t="s">
        <v>325</v>
      </c>
      <c r="D146" s="193"/>
      <c r="E146" s="172"/>
      <c r="F146" s="707"/>
      <c r="G146" s="707"/>
      <c r="H146" s="707"/>
      <c r="I146" s="707"/>
      <c r="J146" s="708">
        <v>0</v>
      </c>
      <c r="K146" s="883"/>
      <c r="L146" s="802"/>
      <c r="M146" s="808" t="e">
        <f t="shared" si="5"/>
        <v>#DIV/0!</v>
      </c>
    </row>
    <row r="147" spans="1:13" ht="156" customHeight="1" x14ac:dyDescent="0.25">
      <c r="A147" s="192"/>
      <c r="B147" s="161" t="s">
        <v>421</v>
      </c>
      <c r="C147" s="687" t="s">
        <v>369</v>
      </c>
      <c r="D147" s="193"/>
      <c r="E147" s="172"/>
      <c r="F147" s="707"/>
      <c r="G147" s="707"/>
      <c r="H147" s="707"/>
      <c r="I147" s="707"/>
      <c r="J147" s="709">
        <f>'Целевые индикаторы '!D30</f>
        <v>15</v>
      </c>
      <c r="K147" s="871">
        <f>'Целевые индикаторы '!E30</f>
        <v>24</v>
      </c>
      <c r="L147" s="161" t="str">
        <f>'Целевые индикаторы '!G30</f>
        <v>Причина перевыполнения планового показателяв в том, что программа пользуется большой популярностью среди молодёжи. За 1 полугодие в программе приняло участие 83 человека в возрасте до 30 лет от общей численности участников подпрограммы трудоспособного возраста.</v>
      </c>
      <c r="M147" s="808" t="e">
        <f t="shared" si="5"/>
        <v>#DIV/0!</v>
      </c>
    </row>
    <row r="148" spans="1:13" ht="117.75" customHeight="1" x14ac:dyDescent="0.25">
      <c r="A148" s="192"/>
      <c r="B148" s="161" t="s">
        <v>422</v>
      </c>
      <c r="C148" s="687" t="s">
        <v>369</v>
      </c>
      <c r="D148" s="193"/>
      <c r="E148" s="172"/>
      <c r="F148" s="707"/>
      <c r="G148" s="707"/>
      <c r="H148" s="707"/>
      <c r="I148" s="707"/>
      <c r="J148" s="709">
        <f>'Целевые индикаторы '!D31</f>
        <v>18.75</v>
      </c>
      <c r="K148" s="832">
        <f>'Целевые индикаторы '!E31</f>
        <v>0</v>
      </c>
      <c r="L148" s="172">
        <f>'Целевые индикаторы '!G31</f>
        <v>0</v>
      </c>
      <c r="M148" s="808"/>
    </row>
    <row r="149" spans="1:13" ht="43.5" x14ac:dyDescent="0.25">
      <c r="A149" s="282" t="s">
        <v>51</v>
      </c>
      <c r="B149" s="283" t="s">
        <v>142</v>
      </c>
      <c r="C149" s="215"/>
      <c r="D149" s="284"/>
      <c r="E149" s="284"/>
      <c r="F149" s="284"/>
      <c r="G149" s="284"/>
      <c r="H149" s="281">
        <f>H150+H159</f>
        <v>1038943.017</v>
      </c>
      <c r="I149" s="281">
        <f>I150+I159</f>
        <v>1006877.6689</v>
      </c>
      <c r="J149" s="627"/>
      <c r="K149" s="782"/>
      <c r="L149" s="284"/>
      <c r="M149" s="808">
        <f t="shared" si="5"/>
        <v>0.96913656709239915</v>
      </c>
    </row>
    <row r="150" spans="1:13" ht="38.25" x14ac:dyDescent="0.25">
      <c r="A150" s="285" t="s">
        <v>108</v>
      </c>
      <c r="B150" s="286" t="s">
        <v>143</v>
      </c>
      <c r="C150" s="215"/>
      <c r="D150" s="284"/>
      <c r="E150" s="284"/>
      <c r="F150" s="284"/>
      <c r="G150" s="284"/>
      <c r="H150" s="281">
        <f>H151+H152+H153+H157</f>
        <v>1038849.698</v>
      </c>
      <c r="I150" s="281">
        <f>I151+I152+I153+I157+I158</f>
        <v>1005379.3499</v>
      </c>
      <c r="J150" s="627"/>
      <c r="K150" s="782"/>
      <c r="L150" s="284"/>
      <c r="M150" s="808">
        <f t="shared" si="5"/>
        <v>0.9677813372190055</v>
      </c>
    </row>
    <row r="151" spans="1:13" ht="96" customHeight="1" x14ac:dyDescent="0.25">
      <c r="A151" s="991" t="s">
        <v>187</v>
      </c>
      <c r="B151" s="993" t="s">
        <v>271</v>
      </c>
      <c r="C151" s="672" t="s">
        <v>326</v>
      </c>
      <c r="D151" s="172" t="s">
        <v>280</v>
      </c>
      <c r="E151" s="172" t="s">
        <v>281</v>
      </c>
      <c r="F151" s="172" t="s">
        <v>280</v>
      </c>
      <c r="G151" s="172" t="s">
        <v>281</v>
      </c>
      <c r="H151" s="287">
        <f>53843.206+52393.995</f>
        <v>106237.201</v>
      </c>
      <c r="I151" s="201">
        <f>финансир!M145</f>
        <v>104475.70801</v>
      </c>
      <c r="J151" s="983" t="s">
        <v>375</v>
      </c>
      <c r="K151" s="169" t="s">
        <v>527</v>
      </c>
      <c r="L151" s="924"/>
      <c r="M151" s="808">
        <f t="shared" si="5"/>
        <v>0.98341924510981804</v>
      </c>
    </row>
    <row r="152" spans="1:13" ht="67.5" customHeight="1" x14ac:dyDescent="0.25">
      <c r="A152" s="992"/>
      <c r="B152" s="994"/>
      <c r="C152" s="710" t="s">
        <v>369</v>
      </c>
      <c r="D152" s="172"/>
      <c r="E152" s="172"/>
      <c r="F152" s="172"/>
      <c r="G152" s="172"/>
      <c r="H152" s="287">
        <f>8391.371+5943.429</f>
        <v>14334.8</v>
      </c>
      <c r="I152" s="201">
        <f>финансир!M146</f>
        <v>13506.379000000001</v>
      </c>
      <c r="J152" s="984"/>
      <c r="K152" s="169" t="s">
        <v>529</v>
      </c>
      <c r="L152" s="925"/>
      <c r="M152" s="808"/>
    </row>
    <row r="153" spans="1:13" ht="31.5" customHeight="1" x14ac:dyDescent="0.25">
      <c r="A153" s="711" t="s">
        <v>188</v>
      </c>
      <c r="B153" s="857" t="s">
        <v>376</v>
      </c>
      <c r="C153" s="691"/>
      <c r="D153" s="172"/>
      <c r="E153" s="172"/>
      <c r="F153" s="172"/>
      <c r="G153" s="172"/>
      <c r="H153" s="287">
        <f>H154+H155+H156</f>
        <v>908667.69699999993</v>
      </c>
      <c r="I153" s="287">
        <f>I154+I155+I156</f>
        <v>879426.77413000003</v>
      </c>
      <c r="J153" s="712" t="s">
        <v>111</v>
      </c>
      <c r="K153" s="712" t="s">
        <v>111</v>
      </c>
      <c r="L153" s="713"/>
      <c r="M153" s="808"/>
    </row>
    <row r="154" spans="1:13" ht="102.75" customHeight="1" x14ac:dyDescent="0.25">
      <c r="A154" s="913" t="s">
        <v>129</v>
      </c>
      <c r="B154" s="900" t="s">
        <v>377</v>
      </c>
      <c r="C154" s="672" t="s">
        <v>326</v>
      </c>
      <c r="D154" s="172" t="s">
        <v>280</v>
      </c>
      <c r="E154" s="172" t="s">
        <v>281</v>
      </c>
      <c r="F154" s="172" t="s">
        <v>280</v>
      </c>
      <c r="G154" s="172" t="s">
        <v>281</v>
      </c>
      <c r="H154" s="287">
        <f>411150.489+415172.437</f>
        <v>826322.92599999998</v>
      </c>
      <c r="I154" s="201">
        <f>финансир!M148</f>
        <v>800211.07929000002</v>
      </c>
      <c r="J154" s="714" t="s">
        <v>117</v>
      </c>
      <c r="K154" s="169" t="s">
        <v>528</v>
      </c>
      <c r="L154" s="192"/>
      <c r="M154" s="808">
        <f t="shared" si="5"/>
        <v>0.96839994887180469</v>
      </c>
    </row>
    <row r="155" spans="1:13" ht="42.75" customHeight="1" x14ac:dyDescent="0.25">
      <c r="A155" s="914"/>
      <c r="B155" s="917"/>
      <c r="C155" s="672" t="s">
        <v>320</v>
      </c>
      <c r="D155" s="172" t="s">
        <v>281</v>
      </c>
      <c r="E155" s="172" t="s">
        <v>281</v>
      </c>
      <c r="F155" s="172" t="s">
        <v>281</v>
      </c>
      <c r="G155" s="172" t="s">
        <v>281</v>
      </c>
      <c r="H155" s="287">
        <v>0</v>
      </c>
      <c r="I155" s="201">
        <f>финансир!M149</f>
        <v>0</v>
      </c>
      <c r="J155" s="714"/>
      <c r="K155" s="884" t="s">
        <v>524</v>
      </c>
      <c r="L155" s="192"/>
      <c r="M155" s="808"/>
    </row>
    <row r="156" spans="1:13" ht="59.25" customHeight="1" x14ac:dyDescent="0.25">
      <c r="A156" s="715" t="s">
        <v>379</v>
      </c>
      <c r="B156" s="851" t="s">
        <v>378</v>
      </c>
      <c r="C156" s="710" t="s">
        <v>369</v>
      </c>
      <c r="D156" s="172" t="s">
        <v>280</v>
      </c>
      <c r="E156" s="172" t="s">
        <v>281</v>
      </c>
      <c r="F156" s="172" t="s">
        <v>280</v>
      </c>
      <c r="G156" s="172" t="s">
        <v>281</v>
      </c>
      <c r="H156" s="287">
        <f>31656.45+50688.321</f>
        <v>82344.771000000008</v>
      </c>
      <c r="I156" s="201">
        <f>финансир!M150</f>
        <v>79215.694839999996</v>
      </c>
      <c r="J156" s="714" t="s">
        <v>117</v>
      </c>
      <c r="K156" s="884" t="s">
        <v>530</v>
      </c>
      <c r="L156" s="716"/>
      <c r="M156" s="808"/>
    </row>
    <row r="157" spans="1:13" ht="161.25" customHeight="1" x14ac:dyDescent="0.25">
      <c r="A157" s="189" t="s">
        <v>189</v>
      </c>
      <c r="B157" s="190" t="s">
        <v>380</v>
      </c>
      <c r="C157" s="207" t="s">
        <v>321</v>
      </c>
      <c r="D157" s="172" t="s">
        <v>282</v>
      </c>
      <c r="E157" s="172" t="s">
        <v>282</v>
      </c>
      <c r="F157" s="172" t="s">
        <v>282</v>
      </c>
      <c r="G157" s="172" t="s">
        <v>282</v>
      </c>
      <c r="H157" s="287">
        <v>9610</v>
      </c>
      <c r="I157" s="201">
        <f>финансир!M151</f>
        <v>7722.3429999999998</v>
      </c>
      <c r="J157" s="167"/>
      <c r="K157" s="167" t="s">
        <v>531</v>
      </c>
      <c r="L157" s="191"/>
      <c r="M157" s="808">
        <f t="shared" si="5"/>
        <v>0.80357367325702389</v>
      </c>
    </row>
    <row r="158" spans="1:13" ht="161.25" customHeight="1" x14ac:dyDescent="0.25">
      <c r="A158" s="189" t="s">
        <v>190</v>
      </c>
      <c r="B158" s="780" t="s">
        <v>416</v>
      </c>
      <c r="C158" s="717" t="s">
        <v>489</v>
      </c>
      <c r="D158" s="172" t="s">
        <v>280</v>
      </c>
      <c r="E158" s="172" t="s">
        <v>281</v>
      </c>
      <c r="F158" s="172" t="s">
        <v>280</v>
      </c>
      <c r="G158" s="172" t="s">
        <v>281</v>
      </c>
      <c r="H158" s="287">
        <f>227.269+656.726</f>
        <v>883.995</v>
      </c>
      <c r="I158" s="201">
        <f>финансир!M152</f>
        <v>248.14576</v>
      </c>
      <c r="J158" s="685" t="s">
        <v>490</v>
      </c>
      <c r="K158" s="885" t="s">
        <v>532</v>
      </c>
      <c r="L158" s="191"/>
      <c r="M158" s="808">
        <f t="shared" si="5"/>
        <v>0.28070946102636324</v>
      </c>
    </row>
    <row r="159" spans="1:13" ht="43.5" customHeight="1" x14ac:dyDescent="0.25">
      <c r="A159" s="216" t="s">
        <v>105</v>
      </c>
      <c r="B159" s="217" t="s">
        <v>145</v>
      </c>
      <c r="C159" s="218"/>
      <c r="D159" s="288"/>
      <c r="E159" s="288"/>
      <c r="F159" s="191"/>
      <c r="G159" s="191"/>
      <c r="H159" s="287">
        <f>H160</f>
        <v>93.319000000000003</v>
      </c>
      <c r="I159" s="287">
        <f>I160</f>
        <v>1498.319</v>
      </c>
      <c r="J159" s="628"/>
      <c r="K159" s="789"/>
      <c r="L159" s="191"/>
      <c r="M159" s="808">
        <f t="shared" si="5"/>
        <v>16.055883582121538</v>
      </c>
    </row>
    <row r="160" spans="1:13" ht="207.75" customHeight="1" x14ac:dyDescent="0.25">
      <c r="A160" s="856"/>
      <c r="B160" s="718" t="s">
        <v>146</v>
      </c>
      <c r="C160" s="719" t="s">
        <v>327</v>
      </c>
      <c r="D160" s="172" t="s">
        <v>282</v>
      </c>
      <c r="E160" s="172" t="s">
        <v>281</v>
      </c>
      <c r="F160" s="172" t="s">
        <v>282</v>
      </c>
      <c r="G160" s="172" t="s">
        <v>281</v>
      </c>
      <c r="H160" s="720">
        <v>93.319000000000003</v>
      </c>
      <c r="I160" s="219">
        <f>финансир!M154</f>
        <v>1498.319</v>
      </c>
      <c r="J160" s="628" t="s">
        <v>491</v>
      </c>
      <c r="K160" s="886" t="s">
        <v>533</v>
      </c>
      <c r="L160" s="161"/>
      <c r="M160" s="808"/>
    </row>
    <row r="161" spans="1:13" x14ac:dyDescent="0.25">
      <c r="A161" s="979" t="s">
        <v>269</v>
      </c>
      <c r="B161" s="980"/>
      <c r="C161" s="172"/>
      <c r="D161" s="220"/>
      <c r="E161" s="211"/>
      <c r="F161" s="212"/>
      <c r="G161" s="212"/>
      <c r="H161" s="213"/>
      <c r="I161" s="212"/>
      <c r="J161" s="221"/>
      <c r="K161" s="790"/>
      <c r="L161" s="214"/>
      <c r="M161" s="808" t="e">
        <f t="shared" si="5"/>
        <v>#DIV/0!</v>
      </c>
    </row>
    <row r="162" spans="1:13" ht="92.25" hidden="1" customHeight="1" x14ac:dyDescent="0.25">
      <c r="A162" s="192"/>
      <c r="B162" s="161" t="s">
        <v>270</v>
      </c>
      <c r="C162" s="672" t="s">
        <v>326</v>
      </c>
      <c r="D162" s="721"/>
      <c r="E162" s="257"/>
      <c r="F162" s="722"/>
      <c r="G162" s="722"/>
      <c r="H162" s="723"/>
      <c r="I162" s="722"/>
      <c r="J162" s="724" t="e">
        <f>'Целевые индикаторы '!#REF!</f>
        <v>#REF!</v>
      </c>
      <c r="K162" s="791" t="e">
        <f>'Целевые индикаторы '!#REF!</f>
        <v>#REF!</v>
      </c>
      <c r="L162" s="206" t="e">
        <f>'Целевые индикаторы '!#REF!</f>
        <v>#REF!</v>
      </c>
      <c r="M162" s="808" t="e">
        <f t="shared" si="5"/>
        <v>#DIV/0!</v>
      </c>
    </row>
    <row r="163" spans="1:13" ht="93.75" customHeight="1" x14ac:dyDescent="0.25">
      <c r="A163" s="192"/>
      <c r="B163" s="161" t="s">
        <v>293</v>
      </c>
      <c r="C163" s="672" t="s">
        <v>326</v>
      </c>
      <c r="D163" s="721"/>
      <c r="E163" s="257"/>
      <c r="F163" s="722"/>
      <c r="G163" s="722"/>
      <c r="H163" s="723"/>
      <c r="I163" s="722"/>
      <c r="J163" s="887">
        <f>'Целевые индикаторы '!D36</f>
        <v>43.34</v>
      </c>
      <c r="K163" s="888">
        <f>'Целевые индикаторы '!E36</f>
        <v>43.34</v>
      </c>
      <c r="L163" s="206" t="str">
        <f>'Целевые индикаторы '!G36</f>
        <v>Значение целевого индикатора за I полугодие 2017 год составило 100% (целевой индикатор выполнен)</v>
      </c>
      <c r="M163" s="809"/>
    </row>
    <row r="164" spans="1:13" ht="92.25" customHeight="1" x14ac:dyDescent="0.25">
      <c r="A164" s="192"/>
      <c r="B164" s="161" t="s">
        <v>294</v>
      </c>
      <c r="C164" s="672" t="s">
        <v>326</v>
      </c>
      <c r="D164" s="721"/>
      <c r="E164" s="257"/>
      <c r="F164" s="722"/>
      <c r="G164" s="722"/>
      <c r="H164" s="723"/>
      <c r="I164" s="722"/>
      <c r="J164" s="888">
        <f>'Целевые индикаторы '!D37</f>
        <v>0.115</v>
      </c>
      <c r="K164" s="888">
        <f>'Целевые индикаторы '!E37</f>
        <v>0.115</v>
      </c>
      <c r="L164" s="206" t="str">
        <f>'Целевые индикаторы '!G37</f>
        <v>Значение целевого индикатора за I полугодие 2017 год составило 100% (целевой индикатор выполнен)</v>
      </c>
      <c r="M164" s="809"/>
    </row>
    <row r="165" spans="1:13" ht="92.25" customHeight="1" x14ac:dyDescent="0.25">
      <c r="A165" s="192"/>
      <c r="B165" s="161" t="s">
        <v>295</v>
      </c>
      <c r="C165" s="672" t="s">
        <v>326</v>
      </c>
      <c r="D165" s="721"/>
      <c r="E165" s="257"/>
      <c r="F165" s="722"/>
      <c r="G165" s="722"/>
      <c r="H165" s="723"/>
      <c r="I165" s="722"/>
      <c r="J165" s="887">
        <f>'Целевые индикаторы '!D38</f>
        <v>9.24</v>
      </c>
      <c r="K165" s="888">
        <f>'Целевые индикаторы '!E38</f>
        <v>9.24</v>
      </c>
      <c r="L165" s="206" t="str">
        <f>'Целевые индикаторы '!G38</f>
        <v>Значение целевого индикатора за I  полугодие 2017 год составило 100% (целевой индикатор выполнен)</v>
      </c>
      <c r="M165" s="809"/>
    </row>
    <row r="166" spans="1:13" ht="98.25" customHeight="1" x14ac:dyDescent="0.25">
      <c r="A166" s="192"/>
      <c r="B166" s="161" t="s">
        <v>296</v>
      </c>
      <c r="C166" s="672" t="s">
        <v>326</v>
      </c>
      <c r="D166" s="721"/>
      <c r="E166" s="257"/>
      <c r="F166" s="722"/>
      <c r="G166" s="722"/>
      <c r="H166" s="723"/>
      <c r="I166" s="722"/>
      <c r="J166" s="888">
        <f>'Целевые индикаторы '!D39</f>
        <v>0.83699999999999997</v>
      </c>
      <c r="K166" s="888">
        <f>'Целевые индикаторы '!E39</f>
        <v>0.83699999999999997</v>
      </c>
      <c r="L166" s="206" t="str">
        <f>'Целевые индикаторы '!G39</f>
        <v>Значение целевого индикатора за I  полугодие 2017 год составило 100% (целевой индикатор выполнен)</v>
      </c>
      <c r="M166" s="809"/>
    </row>
    <row r="167" spans="1:13" x14ac:dyDescent="0.25">
      <c r="A167" s="290"/>
      <c r="B167" s="222" t="s">
        <v>57</v>
      </c>
      <c r="C167" s="218"/>
      <c r="D167" s="191"/>
      <c r="E167" s="191"/>
      <c r="F167" s="191"/>
      <c r="G167" s="191"/>
      <c r="H167" s="642">
        <f>H149+H122+H97+H67+H6+H139</f>
        <v>5994825.7874999987</v>
      </c>
      <c r="I167" s="642">
        <f>I149+I122+I97+I67+I6+I139</f>
        <v>5909822.8272799999</v>
      </c>
      <c r="J167" s="171"/>
      <c r="K167" s="792"/>
      <c r="L167" s="191"/>
      <c r="M167" s="808">
        <f>I167/H167</f>
        <v>0.98582061210231642</v>
      </c>
    </row>
    <row r="168" spans="1:13" x14ac:dyDescent="0.25">
      <c r="H168" s="291"/>
      <c r="I168" s="291"/>
    </row>
    <row r="169" spans="1:13" x14ac:dyDescent="0.25">
      <c r="H169" s="292"/>
      <c r="I169" s="846"/>
    </row>
    <row r="170" spans="1:13" x14ac:dyDescent="0.25">
      <c r="H170" s="291"/>
    </row>
    <row r="171" spans="1:13" x14ac:dyDescent="0.25">
      <c r="H171" s="291"/>
    </row>
  </sheetData>
  <mergeCells count="28">
    <mergeCell ref="A161:B161"/>
    <mergeCell ref="A118:B118"/>
    <mergeCell ref="A130:B130"/>
    <mergeCell ref="A144:B144"/>
    <mergeCell ref="A151:A152"/>
    <mergeCell ref="B151:B152"/>
    <mergeCell ref="L151:L152"/>
    <mergeCell ref="J151:J152"/>
    <mergeCell ref="A100:A101"/>
    <mergeCell ref="J137:L138"/>
    <mergeCell ref="B154:B155"/>
    <mergeCell ref="B100:B101"/>
    <mergeCell ref="A154:A155"/>
    <mergeCell ref="B60:B61"/>
    <mergeCell ref="L102:L103"/>
    <mergeCell ref="A2:K2"/>
    <mergeCell ref="A3:A4"/>
    <mergeCell ref="B3:B4"/>
    <mergeCell ref="C3:C4"/>
    <mergeCell ref="D3:E3"/>
    <mergeCell ref="F3:G3"/>
    <mergeCell ref="H3:I3"/>
    <mergeCell ref="J3:K3"/>
    <mergeCell ref="A62:B62"/>
    <mergeCell ref="A94:B94"/>
    <mergeCell ref="A28:A29"/>
    <mergeCell ref="B28:B29"/>
    <mergeCell ref="A60:A61"/>
  </mergeCells>
  <phoneticPr fontId="29" type="noConversion"/>
  <hyperlinks>
    <hyperlink ref="B31" location="_ftnref1" display="_ftnref1"/>
  </hyperlinks>
  <pageMargins left="0.70866141732283472" right="0.15748031496062992" top="0.23622047244094491" bottom="0.15748031496062992" header="0.23622047244094491" footer="0.15748031496062992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view="pageBreakPreview" topLeftCell="A126" zoomScale="110" zoomScaleNormal="100" zoomScaleSheetLayoutView="110" workbookViewId="0">
      <selection activeCell="M135" sqref="M135"/>
    </sheetView>
  </sheetViews>
  <sheetFormatPr defaultRowHeight="15" x14ac:dyDescent="0.25"/>
  <cols>
    <col min="1" max="1" width="7.85546875" customWidth="1"/>
    <col min="2" max="2" width="42.140625" hidden="1" customWidth="1"/>
    <col min="3" max="3" width="31.42578125" customWidth="1"/>
    <col min="4" max="4" width="12" customWidth="1"/>
    <col min="5" max="6" width="12.42578125" customWidth="1"/>
    <col min="7" max="7" width="36.28515625" customWidth="1"/>
  </cols>
  <sheetData>
    <row r="1" spans="1:7" x14ac:dyDescent="0.25">
      <c r="G1" s="46" t="s">
        <v>1</v>
      </c>
    </row>
    <row r="2" spans="1:7" ht="18.75" x14ac:dyDescent="0.3">
      <c r="A2" s="995" t="s">
        <v>0</v>
      </c>
      <c r="B2" s="995"/>
      <c r="C2" s="995"/>
      <c r="D2" s="995"/>
      <c r="E2" s="995"/>
      <c r="F2" s="995"/>
      <c r="G2" s="995"/>
    </row>
    <row r="3" spans="1:7" ht="16.5" customHeight="1" x14ac:dyDescent="0.3">
      <c r="A3" s="996" t="s">
        <v>305</v>
      </c>
      <c r="B3" s="996"/>
      <c r="C3" s="996"/>
      <c r="D3" s="996"/>
      <c r="E3" s="996"/>
      <c r="F3" s="996"/>
      <c r="G3" s="996"/>
    </row>
    <row r="4" spans="1:7" ht="18.75" x14ac:dyDescent="0.3">
      <c r="A4" s="1"/>
      <c r="B4" s="1"/>
      <c r="C4" s="45"/>
      <c r="D4" s="1000" t="s">
        <v>306</v>
      </c>
      <c r="E4" s="1000"/>
      <c r="F4" s="1000"/>
      <c r="G4" s="44"/>
    </row>
    <row r="5" spans="1:7" ht="63.75" x14ac:dyDescent="0.25">
      <c r="A5" s="17" t="s">
        <v>155</v>
      </c>
      <c r="B5" s="17" t="s">
        <v>156</v>
      </c>
      <c r="C5" s="17" t="s">
        <v>289</v>
      </c>
      <c r="D5" s="17" t="s">
        <v>288</v>
      </c>
      <c r="E5" s="17" t="s">
        <v>287</v>
      </c>
      <c r="F5" s="17" t="s">
        <v>286</v>
      </c>
      <c r="G5" s="17" t="s">
        <v>285</v>
      </c>
    </row>
    <row r="6" spans="1:7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5.75" thickBot="1" x14ac:dyDescent="0.3">
      <c r="A7" s="997" t="s">
        <v>164</v>
      </c>
      <c r="B7" s="997"/>
      <c r="C7" s="997"/>
      <c r="D7" s="997"/>
      <c r="E7" s="997"/>
      <c r="F7" s="997"/>
      <c r="G7" s="997"/>
    </row>
    <row r="8" spans="1:7" ht="25.5" hidden="1" x14ac:dyDescent="0.25">
      <c r="A8" s="10" t="s">
        <v>187</v>
      </c>
      <c r="B8" s="11" t="s">
        <v>195</v>
      </c>
      <c r="C8" s="42"/>
      <c r="D8" s="42"/>
      <c r="E8" s="42"/>
      <c r="F8" s="42"/>
      <c r="G8" s="42"/>
    </row>
    <row r="9" spans="1:7" ht="26.25" hidden="1" thickBot="1" x14ac:dyDescent="0.3">
      <c r="A9" s="10" t="s">
        <v>188</v>
      </c>
      <c r="B9" s="11" t="s">
        <v>196</v>
      </c>
      <c r="C9" s="42"/>
      <c r="D9" s="42"/>
      <c r="E9" s="42"/>
      <c r="F9" s="42"/>
      <c r="G9" s="42"/>
    </row>
    <row r="10" spans="1:7" ht="132" customHeight="1" thickBot="1" x14ac:dyDescent="0.3">
      <c r="A10" s="146" t="s">
        <v>70</v>
      </c>
      <c r="B10" s="73">
        <v>2</v>
      </c>
      <c r="C10" s="8" t="s">
        <v>54</v>
      </c>
      <c r="D10" s="50">
        <v>2</v>
      </c>
      <c r="E10" s="51">
        <v>2</v>
      </c>
      <c r="F10" s="103">
        <f>E10/D10</f>
        <v>1</v>
      </c>
      <c r="G10" s="104" t="s">
        <v>304</v>
      </c>
    </row>
    <row r="11" spans="1:7" ht="119.25" customHeight="1" thickBot="1" x14ac:dyDescent="0.3">
      <c r="A11" s="146" t="s">
        <v>105</v>
      </c>
      <c r="B11" s="73" t="s">
        <v>197</v>
      </c>
      <c r="C11" s="8" t="s">
        <v>55</v>
      </c>
      <c r="D11" s="52">
        <v>0.2</v>
      </c>
      <c r="E11" s="51">
        <v>0.2</v>
      </c>
      <c r="F11" s="105">
        <f>E11/D11</f>
        <v>1</v>
      </c>
      <c r="G11" s="104" t="s">
        <v>304</v>
      </c>
    </row>
    <row r="12" spans="1:7" ht="38.25" hidden="1" x14ac:dyDescent="0.25">
      <c r="A12" s="146"/>
      <c r="B12" s="73" t="s">
        <v>8</v>
      </c>
      <c r="C12" s="43"/>
      <c r="D12" s="43"/>
      <c r="E12" s="43"/>
      <c r="F12" s="43"/>
      <c r="G12" s="42"/>
    </row>
    <row r="13" spans="1:7" ht="25.5" hidden="1" x14ac:dyDescent="0.25">
      <c r="A13" s="146"/>
      <c r="B13" s="73" t="s">
        <v>198</v>
      </c>
      <c r="C13" s="42"/>
      <c r="D13" s="42"/>
      <c r="E13" s="42"/>
      <c r="F13" s="42"/>
      <c r="G13" s="42"/>
    </row>
    <row r="14" spans="1:7" ht="25.5" hidden="1" x14ac:dyDescent="0.25">
      <c r="A14" s="146"/>
      <c r="B14" s="73" t="s">
        <v>199</v>
      </c>
      <c r="C14" s="23"/>
      <c r="D14" s="7"/>
      <c r="E14" s="7"/>
      <c r="F14" s="7"/>
      <c r="G14" s="23"/>
    </row>
    <row r="15" spans="1:7" ht="38.25" hidden="1" x14ac:dyDescent="0.25">
      <c r="A15" s="146"/>
      <c r="B15" s="73" t="s">
        <v>200</v>
      </c>
      <c r="C15" s="23"/>
      <c r="D15" s="7"/>
      <c r="E15" s="7"/>
      <c r="F15" s="7"/>
      <c r="G15" s="23"/>
    </row>
    <row r="16" spans="1:7" ht="25.5" hidden="1" x14ac:dyDescent="0.25">
      <c r="A16" s="146"/>
      <c r="B16" s="73" t="s">
        <v>9</v>
      </c>
      <c r="C16" s="23"/>
      <c r="D16" s="7"/>
      <c r="E16" s="7"/>
      <c r="F16" s="7"/>
      <c r="G16" s="23"/>
    </row>
    <row r="17" spans="1:7" ht="25.5" hidden="1" x14ac:dyDescent="0.25">
      <c r="A17" s="146"/>
      <c r="B17" s="73" t="s">
        <v>201</v>
      </c>
      <c r="C17" s="23"/>
      <c r="D17" s="7"/>
      <c r="E17" s="7"/>
      <c r="F17" s="7"/>
      <c r="G17" s="23"/>
    </row>
    <row r="18" spans="1:7" ht="38.25" hidden="1" x14ac:dyDescent="0.25">
      <c r="A18" s="146"/>
      <c r="B18" s="73" t="s">
        <v>202</v>
      </c>
      <c r="C18" s="23"/>
      <c r="D18" s="7"/>
      <c r="E18" s="7"/>
      <c r="F18" s="7"/>
      <c r="G18" s="23"/>
    </row>
    <row r="19" spans="1:7" ht="25.5" hidden="1" x14ac:dyDescent="0.25">
      <c r="A19" s="146"/>
      <c r="B19" s="73" t="s">
        <v>203</v>
      </c>
      <c r="C19" s="23"/>
      <c r="D19" s="7"/>
      <c r="E19" s="7"/>
      <c r="F19" s="7"/>
      <c r="G19" s="23"/>
    </row>
    <row r="20" spans="1:7" ht="178.5" hidden="1" x14ac:dyDescent="0.25">
      <c r="A20" s="146"/>
      <c r="B20" s="73" t="s">
        <v>204</v>
      </c>
      <c r="C20" s="23"/>
      <c r="D20" s="7"/>
      <c r="E20" s="7"/>
      <c r="F20" s="7"/>
      <c r="G20" s="23"/>
    </row>
    <row r="21" spans="1:7" ht="63.75" hidden="1" x14ac:dyDescent="0.25">
      <c r="A21" s="146"/>
      <c r="B21" s="73" t="s">
        <v>205</v>
      </c>
      <c r="C21" s="23"/>
      <c r="D21" s="7"/>
      <c r="E21" s="7"/>
      <c r="F21" s="7"/>
      <c r="G21" s="23"/>
    </row>
    <row r="22" spans="1:7" ht="38.25" hidden="1" x14ac:dyDescent="0.25">
      <c r="A22" s="146"/>
      <c r="B22" s="73" t="s">
        <v>206</v>
      </c>
      <c r="C22" s="23"/>
      <c r="D22" s="7"/>
      <c r="E22" s="7"/>
      <c r="F22" s="7"/>
      <c r="G22" s="23"/>
    </row>
    <row r="23" spans="1:7" ht="38.25" hidden="1" x14ac:dyDescent="0.25">
      <c r="A23" s="146"/>
      <c r="B23" s="73" t="s">
        <v>207</v>
      </c>
      <c r="C23" s="23"/>
      <c r="D23" s="7"/>
      <c r="E23" s="7"/>
      <c r="F23" s="7"/>
      <c r="G23" s="23"/>
    </row>
    <row r="24" spans="1:7" ht="38.25" hidden="1" x14ac:dyDescent="0.25">
      <c r="A24" s="146"/>
      <c r="B24" s="73" t="s">
        <v>208</v>
      </c>
      <c r="C24" s="23"/>
      <c r="D24" s="7"/>
      <c r="E24" s="7"/>
      <c r="F24" s="7"/>
      <c r="G24" s="23"/>
    </row>
    <row r="25" spans="1:7" ht="165.75" hidden="1" x14ac:dyDescent="0.25">
      <c r="A25" s="146"/>
      <c r="B25" s="73" t="s">
        <v>10</v>
      </c>
      <c r="C25" s="23"/>
      <c r="D25" s="7"/>
      <c r="E25" s="7"/>
      <c r="F25" s="7"/>
      <c r="G25" s="23"/>
    </row>
    <row r="26" spans="1:7" ht="51" hidden="1" x14ac:dyDescent="0.25">
      <c r="A26" s="146"/>
      <c r="B26" s="73" t="s">
        <v>209</v>
      </c>
      <c r="C26" s="23"/>
      <c r="D26" s="7"/>
      <c r="E26" s="7"/>
      <c r="F26" s="7"/>
      <c r="G26" s="23"/>
    </row>
    <row r="27" spans="1:7" ht="38.25" hidden="1" x14ac:dyDescent="0.25">
      <c r="A27" s="146"/>
      <c r="B27" s="73" t="s">
        <v>210</v>
      </c>
      <c r="C27" s="23"/>
      <c r="D27" s="7"/>
      <c r="E27" s="7"/>
      <c r="F27" s="7"/>
      <c r="G27" s="23"/>
    </row>
    <row r="28" spans="1:7" hidden="1" x14ac:dyDescent="0.25">
      <c r="A28" s="147"/>
      <c r="B28" s="11" t="s">
        <v>167</v>
      </c>
      <c r="C28" s="23"/>
      <c r="D28" s="7"/>
      <c r="E28" s="7"/>
      <c r="F28" s="7"/>
      <c r="G28" s="23"/>
    </row>
    <row r="29" spans="1:7" ht="25.5" hidden="1" x14ac:dyDescent="0.25">
      <c r="A29" s="146"/>
      <c r="B29" s="73" t="s">
        <v>11</v>
      </c>
      <c r="C29" s="23"/>
      <c r="D29" s="7"/>
      <c r="E29" s="7"/>
      <c r="F29" s="7"/>
      <c r="G29" s="23"/>
    </row>
    <row r="30" spans="1:7" ht="25.5" hidden="1" x14ac:dyDescent="0.25">
      <c r="A30" s="146"/>
      <c r="B30" s="73" t="s">
        <v>211</v>
      </c>
      <c r="C30" s="23"/>
      <c r="D30" s="7"/>
      <c r="E30" s="7"/>
      <c r="F30" s="7"/>
      <c r="G30" s="23"/>
    </row>
    <row r="31" spans="1:7" ht="38.25" hidden="1" x14ac:dyDescent="0.25">
      <c r="A31" s="146"/>
      <c r="B31" s="73" t="s">
        <v>212</v>
      </c>
      <c r="C31" s="23"/>
      <c r="D31" s="7"/>
      <c r="E31" s="7"/>
      <c r="F31" s="7"/>
      <c r="G31" s="23"/>
    </row>
    <row r="32" spans="1:7" ht="25.5" hidden="1" x14ac:dyDescent="0.25">
      <c r="A32" s="146"/>
      <c r="B32" s="73" t="s">
        <v>213</v>
      </c>
      <c r="C32" s="23"/>
      <c r="D32" s="7"/>
      <c r="E32" s="7"/>
      <c r="F32" s="7"/>
      <c r="G32" s="23"/>
    </row>
    <row r="33" spans="1:7" ht="38.25" hidden="1" x14ac:dyDescent="0.25">
      <c r="A33" s="146"/>
      <c r="B33" s="73" t="s">
        <v>214</v>
      </c>
      <c r="C33" s="23"/>
      <c r="D33" s="7"/>
      <c r="E33" s="7"/>
      <c r="F33" s="7"/>
      <c r="G33" s="23"/>
    </row>
    <row r="34" spans="1:7" ht="51" hidden="1" x14ac:dyDescent="0.25">
      <c r="A34" s="146"/>
      <c r="B34" s="73" t="s">
        <v>215</v>
      </c>
      <c r="C34" s="23"/>
      <c r="D34" s="7"/>
      <c r="E34" s="7"/>
      <c r="F34" s="7"/>
      <c r="G34" s="23"/>
    </row>
    <row r="35" spans="1:7" ht="25.5" hidden="1" x14ac:dyDescent="0.25">
      <c r="A35" s="146"/>
      <c r="B35" s="73" t="s">
        <v>216</v>
      </c>
      <c r="C35" s="23"/>
      <c r="D35" s="7"/>
      <c r="E35" s="7"/>
      <c r="F35" s="7"/>
      <c r="G35" s="23"/>
    </row>
    <row r="36" spans="1:7" ht="51" hidden="1" x14ac:dyDescent="0.25">
      <c r="A36" s="146"/>
      <c r="B36" s="73" t="s">
        <v>168</v>
      </c>
      <c r="C36" s="23"/>
      <c r="D36" s="7"/>
      <c r="E36" s="7"/>
      <c r="F36" s="7"/>
      <c r="G36" s="23"/>
    </row>
    <row r="37" spans="1:7" ht="38.25" hidden="1" x14ac:dyDescent="0.25">
      <c r="A37" s="146"/>
      <c r="B37" s="73" t="s">
        <v>217</v>
      </c>
      <c r="C37" s="23"/>
      <c r="D37" s="7"/>
      <c r="E37" s="7"/>
      <c r="F37" s="7"/>
      <c r="G37" s="23"/>
    </row>
    <row r="38" spans="1:7" ht="38.25" hidden="1" x14ac:dyDescent="0.25">
      <c r="A38" s="146"/>
      <c r="B38" s="73" t="s">
        <v>218</v>
      </c>
      <c r="C38" s="23"/>
      <c r="D38" s="7"/>
      <c r="E38" s="7"/>
      <c r="F38" s="7"/>
      <c r="G38" s="23"/>
    </row>
    <row r="39" spans="1:7" ht="25.5" hidden="1" x14ac:dyDescent="0.25">
      <c r="A39" s="146"/>
      <c r="B39" s="73" t="s">
        <v>219</v>
      </c>
      <c r="C39" s="23"/>
      <c r="D39" s="7"/>
      <c r="E39" s="7"/>
      <c r="F39" s="7"/>
      <c r="G39" s="23"/>
    </row>
    <row r="40" spans="1:7" ht="89.25" hidden="1" x14ac:dyDescent="0.25">
      <c r="A40" s="146"/>
      <c r="B40" s="73" t="s">
        <v>220</v>
      </c>
      <c r="C40" s="23"/>
      <c r="D40" s="7"/>
      <c r="E40" s="7"/>
      <c r="F40" s="7"/>
      <c r="G40" s="23"/>
    </row>
    <row r="41" spans="1:7" ht="25.5" hidden="1" x14ac:dyDescent="0.25">
      <c r="A41" s="146"/>
      <c r="B41" s="73" t="s">
        <v>221</v>
      </c>
      <c r="C41" s="23"/>
      <c r="D41" s="7"/>
      <c r="E41" s="7"/>
      <c r="F41" s="7"/>
      <c r="G41" s="23"/>
    </row>
    <row r="42" spans="1:7" ht="76.5" hidden="1" x14ac:dyDescent="0.25">
      <c r="A42" s="146"/>
      <c r="B42" s="73" t="s">
        <v>12</v>
      </c>
      <c r="C42" s="23"/>
      <c r="D42" s="7"/>
      <c r="E42" s="7"/>
      <c r="F42" s="7"/>
      <c r="G42" s="23"/>
    </row>
    <row r="43" spans="1:7" ht="51" hidden="1" x14ac:dyDescent="0.25">
      <c r="A43" s="146"/>
      <c r="B43" s="73" t="s">
        <v>13</v>
      </c>
      <c r="C43" s="23"/>
      <c r="D43" s="7"/>
      <c r="E43" s="7"/>
      <c r="F43" s="7"/>
      <c r="G43" s="23"/>
    </row>
    <row r="44" spans="1:7" ht="38.25" hidden="1" x14ac:dyDescent="0.25">
      <c r="A44" s="146"/>
      <c r="B44" s="73" t="s">
        <v>222</v>
      </c>
      <c r="C44" s="23"/>
      <c r="D44" s="7"/>
      <c r="E44" s="7"/>
      <c r="F44" s="7"/>
      <c r="G44" s="23"/>
    </row>
    <row r="45" spans="1:7" ht="63.75" hidden="1" x14ac:dyDescent="0.25">
      <c r="A45" s="146"/>
      <c r="B45" s="73" t="s">
        <v>14</v>
      </c>
      <c r="C45" s="23"/>
      <c r="D45" s="7"/>
      <c r="E45" s="7"/>
      <c r="F45" s="7"/>
      <c r="G45" s="23"/>
    </row>
    <row r="46" spans="1:7" ht="76.5" hidden="1" x14ac:dyDescent="0.25">
      <c r="A46" s="147"/>
      <c r="B46" s="11" t="s">
        <v>15</v>
      </c>
      <c r="C46" s="23"/>
      <c r="D46" s="7"/>
      <c r="E46" s="7"/>
      <c r="F46" s="7"/>
      <c r="G46" s="23"/>
    </row>
    <row r="47" spans="1:7" ht="76.5" hidden="1" x14ac:dyDescent="0.25">
      <c r="A47" s="146"/>
      <c r="B47" s="73" t="s">
        <v>15</v>
      </c>
      <c r="C47" s="23"/>
      <c r="D47" s="7"/>
      <c r="E47" s="7"/>
      <c r="F47" s="7"/>
      <c r="G47" s="23"/>
    </row>
    <row r="48" spans="1:7" ht="38.25" hidden="1" x14ac:dyDescent="0.25">
      <c r="A48" s="146"/>
      <c r="B48" s="73" t="s">
        <v>16</v>
      </c>
      <c r="C48" s="23"/>
      <c r="D48" s="7"/>
      <c r="E48" s="7"/>
      <c r="F48" s="7"/>
      <c r="G48" s="23"/>
    </row>
    <row r="49" spans="1:7" ht="25.5" hidden="1" x14ac:dyDescent="0.25">
      <c r="A49" s="146"/>
      <c r="B49" s="73" t="s">
        <v>223</v>
      </c>
      <c r="C49" s="23"/>
      <c r="D49" s="7"/>
      <c r="E49" s="7"/>
      <c r="F49" s="7"/>
      <c r="G49" s="23"/>
    </row>
    <row r="50" spans="1:7" ht="38.25" hidden="1" x14ac:dyDescent="0.25">
      <c r="A50" s="146"/>
      <c r="B50" s="73" t="s">
        <v>224</v>
      </c>
      <c r="C50" s="23"/>
      <c r="D50" s="7"/>
      <c r="E50" s="7"/>
      <c r="F50" s="7"/>
      <c r="G50" s="23"/>
    </row>
    <row r="51" spans="1:7" ht="38.25" hidden="1" x14ac:dyDescent="0.25">
      <c r="A51" s="146"/>
      <c r="B51" s="73" t="s">
        <v>104</v>
      </c>
      <c r="C51" s="23"/>
      <c r="D51" s="7"/>
      <c r="E51" s="7"/>
      <c r="F51" s="29"/>
      <c r="G51" s="23"/>
    </row>
    <row r="52" spans="1:7" ht="38.25" hidden="1" x14ac:dyDescent="0.25">
      <c r="A52" s="146"/>
      <c r="B52" s="73" t="s">
        <v>225</v>
      </c>
      <c r="C52" s="41"/>
      <c r="D52" s="13"/>
      <c r="E52" s="13"/>
      <c r="F52" s="13"/>
      <c r="G52" s="41"/>
    </row>
    <row r="53" spans="1:7" ht="89.25" hidden="1" x14ac:dyDescent="0.25">
      <c r="A53" s="146"/>
      <c r="B53" s="102" t="s">
        <v>120</v>
      </c>
      <c r="C53" s="41"/>
      <c r="D53" s="13"/>
      <c r="E53" s="13"/>
      <c r="F53" s="13"/>
      <c r="G53" s="41"/>
    </row>
    <row r="54" spans="1:7" ht="124.5" customHeight="1" x14ac:dyDescent="0.25">
      <c r="A54" s="82" t="s">
        <v>50</v>
      </c>
      <c r="B54" s="15"/>
      <c r="C54" s="74" t="s">
        <v>284</v>
      </c>
      <c r="D54" s="106">
        <v>98.2</v>
      </c>
      <c r="E54" s="106">
        <v>98.2</v>
      </c>
      <c r="F54" s="107">
        <v>1</v>
      </c>
      <c r="G54" s="104" t="s">
        <v>304</v>
      </c>
    </row>
    <row r="55" spans="1:7" ht="86.25" customHeight="1" x14ac:dyDescent="0.25">
      <c r="A55" s="82" t="s">
        <v>307</v>
      </c>
      <c r="B55" s="15"/>
      <c r="C55" s="6" t="s">
        <v>154</v>
      </c>
      <c r="D55" s="109">
        <v>100</v>
      </c>
      <c r="E55" s="109">
        <v>100</v>
      </c>
      <c r="F55" s="105">
        <f>E55/D55</f>
        <v>1</v>
      </c>
      <c r="G55" s="104" t="s">
        <v>304</v>
      </c>
    </row>
    <row r="56" spans="1:7" hidden="1" x14ac:dyDescent="0.25">
      <c r="A56" s="2"/>
      <c r="B56" s="20" t="s">
        <v>165</v>
      </c>
      <c r="C56" s="18"/>
      <c r="D56" s="19"/>
      <c r="E56" s="19"/>
      <c r="F56" s="19"/>
      <c r="G56" s="18"/>
    </row>
    <row r="57" spans="1:7" x14ac:dyDescent="0.25">
      <c r="A57" s="998" t="s">
        <v>170</v>
      </c>
      <c r="B57" s="998"/>
      <c r="C57" s="998"/>
      <c r="D57" s="998"/>
      <c r="E57" s="998"/>
      <c r="F57" s="998"/>
      <c r="G57" s="998"/>
    </row>
    <row r="58" spans="1:7" ht="25.5" hidden="1" x14ac:dyDescent="0.25">
      <c r="A58" s="86" t="s">
        <v>108</v>
      </c>
      <c r="B58" s="85" t="s">
        <v>69</v>
      </c>
      <c r="C58" s="23"/>
      <c r="D58" s="7"/>
      <c r="E58" s="7"/>
      <c r="F58" s="7"/>
      <c r="G58" s="23"/>
    </row>
    <row r="59" spans="1:7" ht="51" hidden="1" customHeight="1" x14ac:dyDescent="0.25">
      <c r="A59" s="71" t="s">
        <v>187</v>
      </c>
      <c r="B59" s="72" t="s">
        <v>226</v>
      </c>
      <c r="C59" s="101"/>
      <c r="D59" s="9"/>
      <c r="E59" s="9"/>
      <c r="F59" s="9"/>
      <c r="G59" s="40"/>
    </row>
    <row r="60" spans="1:7" ht="51" hidden="1" x14ac:dyDescent="0.25">
      <c r="A60" s="54" t="s">
        <v>188</v>
      </c>
      <c r="B60" s="73" t="s">
        <v>227</v>
      </c>
      <c r="C60" s="101"/>
      <c r="D60" s="39"/>
      <c r="E60" s="39"/>
      <c r="F60" s="39"/>
      <c r="G60" s="38"/>
    </row>
    <row r="61" spans="1:7" ht="51" hidden="1" x14ac:dyDescent="0.25">
      <c r="A61" s="54" t="s">
        <v>189</v>
      </c>
      <c r="B61" s="73" t="s">
        <v>21</v>
      </c>
      <c r="C61" s="101"/>
      <c r="D61" s="39"/>
      <c r="E61" s="39"/>
      <c r="F61" s="39"/>
      <c r="G61" s="38"/>
    </row>
    <row r="62" spans="1:7" s="53" customFormat="1" ht="63.75" hidden="1" x14ac:dyDescent="0.25">
      <c r="A62" s="54" t="s">
        <v>190</v>
      </c>
      <c r="B62" s="73" t="s">
        <v>228</v>
      </c>
      <c r="C62" s="101"/>
      <c r="D62" s="65"/>
      <c r="E62" s="83"/>
      <c r="F62" s="82"/>
      <c r="G62" s="82"/>
    </row>
    <row r="63" spans="1:7" ht="51" hidden="1" x14ac:dyDescent="0.25">
      <c r="A63" s="54" t="s">
        <v>191</v>
      </c>
      <c r="B63" s="73" t="s">
        <v>23</v>
      </c>
      <c r="C63" s="101"/>
      <c r="D63" s="39"/>
      <c r="E63" s="39"/>
      <c r="F63" s="39"/>
      <c r="G63" s="38"/>
    </row>
    <row r="64" spans="1:7" ht="89.25" hidden="1" x14ac:dyDescent="0.25">
      <c r="A64" s="54" t="s">
        <v>17</v>
      </c>
      <c r="B64" s="73" t="s">
        <v>24</v>
      </c>
      <c r="C64" s="101"/>
      <c r="D64" s="39"/>
      <c r="E64" s="39"/>
      <c r="F64" s="39"/>
      <c r="G64" s="38"/>
    </row>
    <row r="65" spans="1:7" ht="25.5" hidden="1" x14ac:dyDescent="0.25">
      <c r="A65" s="54" t="s">
        <v>18</v>
      </c>
      <c r="B65" s="73" t="s">
        <v>231</v>
      </c>
      <c r="C65" s="101"/>
      <c r="D65" s="39"/>
      <c r="E65" s="39"/>
      <c r="F65" s="39"/>
      <c r="G65" s="38"/>
    </row>
    <row r="66" spans="1:7" ht="89.25" hidden="1" x14ac:dyDescent="0.25">
      <c r="A66" s="54" t="s">
        <v>64</v>
      </c>
      <c r="B66" s="73" t="s">
        <v>232</v>
      </c>
      <c r="C66" s="101"/>
      <c r="D66" s="37"/>
      <c r="E66" s="37"/>
      <c r="F66" s="37"/>
      <c r="G66" s="36"/>
    </row>
    <row r="67" spans="1:7" ht="25.5" hidden="1" x14ac:dyDescent="0.25">
      <c r="A67" s="54" t="s">
        <v>275</v>
      </c>
      <c r="B67" s="73" t="s">
        <v>233</v>
      </c>
      <c r="C67" s="1002"/>
      <c r="D67" s="19"/>
      <c r="E67" s="19"/>
      <c r="F67" s="19"/>
      <c r="G67" s="18"/>
    </row>
    <row r="68" spans="1:7" ht="25.5" hidden="1" x14ac:dyDescent="0.25">
      <c r="A68" s="54" t="s">
        <v>278</v>
      </c>
      <c r="B68" s="73" t="s">
        <v>234</v>
      </c>
      <c r="C68" s="1003"/>
      <c r="D68" s="7"/>
      <c r="E68" s="7"/>
      <c r="F68" s="7"/>
      <c r="G68" s="23"/>
    </row>
    <row r="69" spans="1:7" ht="25.5" hidden="1" x14ac:dyDescent="0.25">
      <c r="A69" s="54" t="s">
        <v>4</v>
      </c>
      <c r="B69" s="73" t="s">
        <v>25</v>
      </c>
      <c r="C69" s="1003"/>
      <c r="D69" s="7"/>
      <c r="E69" s="7"/>
      <c r="F69" s="7"/>
      <c r="G69" s="23"/>
    </row>
    <row r="70" spans="1:7" ht="51" hidden="1" x14ac:dyDescent="0.25">
      <c r="A70" s="54" t="s">
        <v>71</v>
      </c>
      <c r="B70" s="73" t="s">
        <v>26</v>
      </c>
      <c r="C70" s="1003"/>
      <c r="D70" s="7"/>
      <c r="E70" s="7"/>
      <c r="F70" s="7"/>
      <c r="G70" s="23"/>
    </row>
    <row r="71" spans="1:7" ht="38.25" hidden="1" x14ac:dyDescent="0.25">
      <c r="A71" s="54" t="s">
        <v>72</v>
      </c>
      <c r="B71" s="73" t="s">
        <v>235</v>
      </c>
      <c r="C71" s="1003"/>
      <c r="D71" s="7"/>
      <c r="E71" s="7"/>
      <c r="F71" s="7"/>
      <c r="G71" s="23"/>
    </row>
    <row r="72" spans="1:7" ht="51" hidden="1" x14ac:dyDescent="0.25">
      <c r="A72" s="54" t="s">
        <v>73</v>
      </c>
      <c r="B72" s="73" t="s">
        <v>236</v>
      </c>
      <c r="C72" s="1003"/>
      <c r="D72" s="7"/>
      <c r="E72" s="7"/>
      <c r="F72" s="7"/>
      <c r="G72" s="23"/>
    </row>
    <row r="73" spans="1:7" ht="51" hidden="1" x14ac:dyDescent="0.25">
      <c r="A73" s="54" t="s">
        <v>74</v>
      </c>
      <c r="B73" s="73" t="s">
        <v>27</v>
      </c>
      <c r="C73" s="1003"/>
      <c r="D73" s="7"/>
      <c r="E73" s="7"/>
      <c r="F73" s="7"/>
      <c r="G73" s="23"/>
    </row>
    <row r="74" spans="1:7" ht="63.75" hidden="1" x14ac:dyDescent="0.25">
      <c r="A74" s="54" t="s">
        <v>75</v>
      </c>
      <c r="B74" s="73" t="s">
        <v>237</v>
      </c>
      <c r="C74" s="1003"/>
      <c r="D74" s="7"/>
      <c r="E74" s="7"/>
      <c r="F74" s="7"/>
      <c r="G74" s="23"/>
    </row>
    <row r="75" spans="1:7" ht="63.75" hidden="1" x14ac:dyDescent="0.25">
      <c r="A75" s="54" t="s">
        <v>76</v>
      </c>
      <c r="B75" s="73" t="s">
        <v>238</v>
      </c>
      <c r="C75" s="1003"/>
      <c r="D75" s="7"/>
      <c r="E75" s="7"/>
      <c r="F75" s="7"/>
      <c r="G75" s="23"/>
    </row>
    <row r="76" spans="1:7" ht="63.75" hidden="1" x14ac:dyDescent="0.25">
      <c r="A76" s="54" t="s">
        <v>77</v>
      </c>
      <c r="B76" s="73" t="s">
        <v>239</v>
      </c>
      <c r="C76" s="1003"/>
      <c r="D76" s="7"/>
      <c r="E76" s="7"/>
      <c r="F76" s="7"/>
      <c r="G76" s="23"/>
    </row>
    <row r="77" spans="1:7" ht="76.5" hidden="1" x14ac:dyDescent="0.25">
      <c r="A77" s="54" t="s">
        <v>78</v>
      </c>
      <c r="B77" s="73" t="s">
        <v>240</v>
      </c>
      <c r="C77" s="1003"/>
      <c r="D77" s="7"/>
      <c r="E77" s="7"/>
      <c r="F77" s="7"/>
      <c r="G77" s="23"/>
    </row>
    <row r="78" spans="1:7" ht="51" hidden="1" x14ac:dyDescent="0.25">
      <c r="A78" s="54" t="s">
        <v>79</v>
      </c>
      <c r="B78" s="73" t="s">
        <v>241</v>
      </c>
      <c r="C78" s="1003"/>
      <c r="D78" s="7"/>
      <c r="E78" s="7"/>
      <c r="F78" s="7"/>
      <c r="G78" s="23"/>
    </row>
    <row r="79" spans="1:7" ht="38.25" hidden="1" x14ac:dyDescent="0.25">
      <c r="A79" s="54" t="s">
        <v>80</v>
      </c>
      <c r="B79" s="73" t="s">
        <v>242</v>
      </c>
      <c r="C79" s="1003"/>
      <c r="D79" s="7"/>
      <c r="E79" s="7"/>
      <c r="F79" s="7"/>
      <c r="G79" s="23"/>
    </row>
    <row r="80" spans="1:7" ht="51" hidden="1" x14ac:dyDescent="0.25">
      <c r="A80" s="54" t="s">
        <v>81</v>
      </c>
      <c r="B80" s="73" t="s">
        <v>243</v>
      </c>
      <c r="C80" s="1003"/>
      <c r="D80" s="7"/>
      <c r="E80" s="7"/>
      <c r="F80" s="7"/>
      <c r="G80" s="23"/>
    </row>
    <row r="81" spans="1:7" ht="132.75" hidden="1" customHeight="1" x14ac:dyDescent="0.25">
      <c r="A81" s="54" t="s">
        <v>82</v>
      </c>
      <c r="B81" s="110" t="s">
        <v>22</v>
      </c>
      <c r="C81" s="1003"/>
      <c r="D81" s="7"/>
      <c r="E81" s="7"/>
      <c r="F81" s="7"/>
      <c r="G81" s="23"/>
    </row>
    <row r="82" spans="1:7" ht="51" hidden="1" x14ac:dyDescent="0.25">
      <c r="A82" s="54" t="s">
        <v>83</v>
      </c>
      <c r="B82" s="110" t="s">
        <v>229</v>
      </c>
      <c r="C82" s="1003"/>
      <c r="D82" s="35"/>
      <c r="E82" s="34"/>
      <c r="F82" s="29"/>
      <c r="G82" s="23"/>
    </row>
    <row r="83" spans="1:7" ht="25.5" hidden="1" x14ac:dyDescent="0.25">
      <c r="A83" s="54" t="s">
        <v>84</v>
      </c>
      <c r="B83" s="73" t="s">
        <v>230</v>
      </c>
      <c r="C83" s="1003"/>
      <c r="D83" s="7"/>
      <c r="E83" s="7"/>
      <c r="F83" s="7"/>
      <c r="G83" s="23"/>
    </row>
    <row r="84" spans="1:7" ht="157.5" customHeight="1" x14ac:dyDescent="0.25">
      <c r="A84" s="147" t="s">
        <v>70</v>
      </c>
      <c r="B84" s="11"/>
      <c r="C84" s="57" t="s">
        <v>264</v>
      </c>
      <c r="D84" s="144">
        <v>0.84</v>
      </c>
      <c r="E84" s="144">
        <f>'план-график'!K95</f>
        <v>0.86799999999999999</v>
      </c>
      <c r="F84" s="108">
        <f>E84/D84*100</f>
        <v>103.33333333333334</v>
      </c>
      <c r="G84" s="104" t="str">
        <f>'план-график'!L95</f>
        <v>Значение целевого индикатора за I квартал 2017 год  составило 86,8% (целевой индикатор перевыполнен)</v>
      </c>
    </row>
    <row r="85" spans="1:7" ht="63.75" x14ac:dyDescent="0.25">
      <c r="A85" s="147" t="s">
        <v>105</v>
      </c>
      <c r="B85" s="11"/>
      <c r="C85" s="57" t="s">
        <v>153</v>
      </c>
      <c r="D85" s="108">
        <v>100</v>
      </c>
      <c r="E85" s="108">
        <v>100</v>
      </c>
      <c r="F85" s="103">
        <v>1</v>
      </c>
      <c r="G85" s="104" t="s">
        <v>302</v>
      </c>
    </row>
    <row r="86" spans="1:7" hidden="1" x14ac:dyDescent="0.25">
      <c r="A86" s="2"/>
      <c r="B86" s="20" t="s">
        <v>165</v>
      </c>
      <c r="C86" s="18"/>
      <c r="D86" s="19"/>
      <c r="E86" s="19"/>
      <c r="F86" s="19"/>
      <c r="G86" s="18"/>
    </row>
    <row r="87" spans="1:7" x14ac:dyDescent="0.25">
      <c r="A87" s="1001" t="s">
        <v>171</v>
      </c>
      <c r="B87" s="1001"/>
      <c r="C87" s="1001"/>
      <c r="D87" s="1001"/>
      <c r="E87" s="1001"/>
      <c r="F87" s="1001"/>
      <c r="G87" s="1001"/>
    </row>
    <row r="88" spans="1:7" ht="25.5" hidden="1" x14ac:dyDescent="0.25">
      <c r="A88" s="3" t="s">
        <v>70</v>
      </c>
      <c r="B88" s="4" t="s">
        <v>246</v>
      </c>
      <c r="C88" s="33"/>
      <c r="D88" s="31"/>
      <c r="E88" s="32"/>
      <c r="F88" s="32"/>
      <c r="G88" s="18"/>
    </row>
    <row r="89" spans="1:7" ht="141" thickBot="1" x14ac:dyDescent="0.3">
      <c r="A89" s="149" t="s">
        <v>70</v>
      </c>
      <c r="B89" s="4" t="s">
        <v>247</v>
      </c>
      <c r="C89" s="8" t="s">
        <v>58</v>
      </c>
      <c r="D89" s="111">
        <v>100</v>
      </c>
      <c r="E89" s="112">
        <v>100</v>
      </c>
      <c r="F89" s="103">
        <f>E89/D89</f>
        <v>1</v>
      </c>
      <c r="G89" s="104" t="s">
        <v>304</v>
      </c>
    </row>
    <row r="90" spans="1:7" ht="153.75" hidden="1" thickBot="1" x14ac:dyDescent="0.3">
      <c r="A90" s="149"/>
      <c r="B90" s="6" t="s">
        <v>127</v>
      </c>
      <c r="C90" s="23"/>
      <c r="D90" s="7"/>
      <c r="E90" s="7"/>
      <c r="F90" s="7"/>
      <c r="G90" s="23"/>
    </row>
    <row r="91" spans="1:7" ht="142.5" hidden="1" thickBot="1" x14ac:dyDescent="0.3">
      <c r="A91" s="117"/>
      <c r="B91" s="84" t="s">
        <v>128</v>
      </c>
      <c r="C91" s="23"/>
      <c r="D91" s="7"/>
      <c r="E91" s="7"/>
      <c r="F91" s="7"/>
      <c r="G91" s="23"/>
    </row>
    <row r="92" spans="1:7" ht="51.75" hidden="1" thickBot="1" x14ac:dyDescent="0.3">
      <c r="A92" s="148"/>
      <c r="B92" s="4" t="s">
        <v>253</v>
      </c>
      <c r="C92" s="18"/>
      <c r="D92" s="19"/>
      <c r="E92" s="19"/>
      <c r="F92" s="19"/>
      <c r="G92" s="18"/>
    </row>
    <row r="93" spans="1:7" ht="39" hidden="1" thickBot="1" x14ac:dyDescent="0.3">
      <c r="A93" s="148"/>
      <c r="B93" s="4" t="s">
        <v>254</v>
      </c>
      <c r="C93" s="18"/>
      <c r="D93" s="19"/>
      <c r="E93" s="19"/>
      <c r="F93" s="19"/>
      <c r="G93" s="18"/>
    </row>
    <row r="94" spans="1:7" ht="26.25" hidden="1" thickBot="1" x14ac:dyDescent="0.3">
      <c r="A94" s="148"/>
      <c r="B94" s="4" t="s">
        <v>256</v>
      </c>
      <c r="C94" s="18"/>
      <c r="D94" s="19"/>
      <c r="E94" s="19"/>
      <c r="F94" s="19"/>
      <c r="G94" s="18"/>
    </row>
    <row r="95" spans="1:7" ht="51.75" hidden="1" thickBot="1" x14ac:dyDescent="0.3">
      <c r="A95" s="149"/>
      <c r="B95" s="6" t="s">
        <v>257</v>
      </c>
      <c r="C95" s="23"/>
      <c r="D95" s="7"/>
      <c r="E95" s="7"/>
      <c r="F95" s="7"/>
      <c r="G95" s="23"/>
    </row>
    <row r="96" spans="1:7" ht="102.75" hidden="1" thickBot="1" x14ac:dyDescent="0.3">
      <c r="A96" s="148"/>
      <c r="B96" s="4" t="s">
        <v>258</v>
      </c>
      <c r="C96" s="18"/>
      <c r="D96" s="19"/>
      <c r="E96" s="19"/>
      <c r="F96" s="19"/>
      <c r="G96" s="18"/>
    </row>
    <row r="97" spans="1:7" ht="90" hidden="1" thickBot="1" x14ac:dyDescent="0.3">
      <c r="A97" s="149"/>
      <c r="B97" s="6" t="s">
        <v>259</v>
      </c>
      <c r="C97" s="23"/>
      <c r="D97" s="7"/>
      <c r="E97" s="30"/>
      <c r="F97" s="7"/>
      <c r="G97" s="23"/>
    </row>
    <row r="98" spans="1:7" ht="109.5" customHeight="1" thickBot="1" x14ac:dyDescent="0.3">
      <c r="A98" s="149" t="s">
        <v>105</v>
      </c>
      <c r="B98" s="6" t="s">
        <v>260</v>
      </c>
      <c r="C98" s="145" t="s">
        <v>53</v>
      </c>
      <c r="D98" s="113">
        <v>42</v>
      </c>
      <c r="E98" s="114">
        <v>42</v>
      </c>
      <c r="F98" s="103">
        <f>E98/D98</f>
        <v>1</v>
      </c>
      <c r="G98" s="104" t="s">
        <v>304</v>
      </c>
    </row>
    <row r="99" spans="1:7" ht="38.25" hidden="1" x14ac:dyDescent="0.25">
      <c r="A99" s="149"/>
      <c r="B99" s="6" t="s">
        <v>261</v>
      </c>
      <c r="C99" s="23"/>
      <c r="D99" s="7"/>
      <c r="E99" s="30"/>
      <c r="F99" s="7"/>
      <c r="G99" s="23"/>
    </row>
    <row r="100" spans="1:7" ht="57.75" customHeight="1" x14ac:dyDescent="0.25">
      <c r="A100" s="149" t="s">
        <v>50</v>
      </c>
      <c r="B100" s="6" t="s">
        <v>262</v>
      </c>
      <c r="C100" s="8" t="s">
        <v>59</v>
      </c>
      <c r="D100" s="115">
        <v>5.0999999999999996</v>
      </c>
      <c r="E100" s="116">
        <v>5.0999999999999996</v>
      </c>
      <c r="F100" s="103">
        <f>E100/D100</f>
        <v>1</v>
      </c>
      <c r="G100" s="104" t="s">
        <v>304</v>
      </c>
    </row>
    <row r="101" spans="1:7" hidden="1" x14ac:dyDescent="0.25">
      <c r="A101" s="3" t="s">
        <v>42</v>
      </c>
      <c r="B101" s="4" t="s">
        <v>172</v>
      </c>
      <c r="C101" s="18"/>
      <c r="D101" s="19"/>
      <c r="E101" s="19"/>
      <c r="F101" s="19"/>
      <c r="G101" s="18"/>
    </row>
    <row r="102" spans="1:7" ht="25.5" hidden="1" x14ac:dyDescent="0.25">
      <c r="A102" s="5" t="s">
        <v>43</v>
      </c>
      <c r="B102" s="6" t="s">
        <v>263</v>
      </c>
      <c r="C102" s="23"/>
      <c r="D102" s="7"/>
      <c r="E102" s="7"/>
      <c r="F102" s="7"/>
      <c r="G102" s="23"/>
    </row>
    <row r="103" spans="1:7" hidden="1" x14ac:dyDescent="0.25">
      <c r="A103" s="28"/>
      <c r="B103" s="27" t="s">
        <v>165</v>
      </c>
      <c r="C103" s="21"/>
      <c r="D103" s="26"/>
      <c r="E103" s="26"/>
      <c r="F103" s="22"/>
      <c r="G103" s="21"/>
    </row>
    <row r="104" spans="1:7" hidden="1" x14ac:dyDescent="0.25">
      <c r="A104" s="998" t="s">
        <v>173</v>
      </c>
      <c r="B104" s="1001"/>
      <c r="C104" s="998"/>
      <c r="D104" s="998"/>
      <c r="E104" s="998"/>
      <c r="F104" s="998"/>
      <c r="G104" s="998"/>
    </row>
    <row r="105" spans="1:7" s="53" customFormat="1" ht="83.25" hidden="1" customHeight="1" x14ac:dyDescent="0.25">
      <c r="A105" s="88" t="s">
        <v>187</v>
      </c>
      <c r="B105" s="58" t="s">
        <v>174</v>
      </c>
      <c r="C105" s="134" t="s">
        <v>148</v>
      </c>
      <c r="D105" s="122">
        <v>0.56999999999999995</v>
      </c>
      <c r="E105" s="99">
        <f>'план-график'!K131</f>
        <v>0.48</v>
      </c>
      <c r="F105" s="127">
        <f>(D105-E105)/D105*100%+100</f>
        <v>100.15789473684211</v>
      </c>
      <c r="G105" s="133" t="str">
        <f>'план-график'!L131</f>
        <v>По состоянию на 01.07.2017 численность безработных граждан, зарегистрированных в государственных учреждениях службы занятости населения, составила 3133 человек. Уровень регистрируемой безработицы составил 0,48%</v>
      </c>
    </row>
    <row r="106" spans="1:7" ht="51" hidden="1" x14ac:dyDescent="0.25">
      <c r="A106" s="88"/>
      <c r="B106" s="87"/>
      <c r="C106" s="48" t="s">
        <v>297</v>
      </c>
      <c r="D106" s="118">
        <v>76056</v>
      </c>
      <c r="E106" s="119">
        <f>'план-график'!K134</f>
        <v>57373</v>
      </c>
      <c r="F106" s="139">
        <f>E106/D106</f>
        <v>0.75435205637950986</v>
      </c>
      <c r="G106" s="131" t="str">
        <f>'план-график'!L134</f>
        <v xml:space="preserve">Количество получателей государственных услуг в сфере занятости  составило  57373 человек. </v>
      </c>
    </row>
    <row r="107" spans="1:7" ht="51" hidden="1" x14ac:dyDescent="0.25">
      <c r="A107" s="89" t="s">
        <v>188</v>
      </c>
      <c r="B107" s="57" t="s">
        <v>47</v>
      </c>
      <c r="C107" s="48" t="s">
        <v>149</v>
      </c>
      <c r="D107" s="138"/>
      <c r="E107" s="138"/>
      <c r="F107" s="139"/>
      <c r="G107" s="100"/>
    </row>
    <row r="108" spans="1:7" hidden="1" x14ac:dyDescent="0.25">
      <c r="A108" s="76" t="s">
        <v>189</v>
      </c>
      <c r="B108" s="57" t="s">
        <v>45</v>
      </c>
      <c r="C108" s="48"/>
      <c r="D108" s="138"/>
      <c r="E108" s="138"/>
      <c r="F108" s="139"/>
      <c r="G108" s="100"/>
    </row>
    <row r="109" spans="1:7" ht="127.5" hidden="1" x14ac:dyDescent="0.25">
      <c r="A109" s="90" t="s">
        <v>190</v>
      </c>
      <c r="B109" s="57" t="s">
        <v>137</v>
      </c>
      <c r="C109" s="47"/>
      <c r="D109" s="128"/>
      <c r="E109" s="128"/>
      <c r="F109" s="128"/>
      <c r="G109" s="47"/>
    </row>
    <row r="110" spans="1:7" ht="25.5" hidden="1" x14ac:dyDescent="0.25">
      <c r="A110" s="56" t="s">
        <v>191</v>
      </c>
      <c r="B110" s="57" t="s">
        <v>138</v>
      </c>
      <c r="C110" s="25"/>
      <c r="D110" s="30"/>
      <c r="E110" s="30"/>
      <c r="F110" s="30"/>
      <c r="G110" s="23"/>
    </row>
    <row r="111" spans="1:7" ht="51" hidden="1" x14ac:dyDescent="0.25">
      <c r="A111" s="81"/>
      <c r="B111" s="77"/>
      <c r="C111" s="49" t="s">
        <v>298</v>
      </c>
      <c r="D111" s="123">
        <v>11300</v>
      </c>
      <c r="E111" s="130">
        <f>'план-график'!K133</f>
        <v>5571</v>
      </c>
      <c r="F111" s="120">
        <f>E111/D111</f>
        <v>0.49300884955752211</v>
      </c>
      <c r="G111" s="110" t="str">
        <f>'план-график'!L133</f>
        <v>Количество работников прошедших обучение в пнрвом полугодии 2017 года- 5571 человек</v>
      </c>
    </row>
    <row r="112" spans="1:7" s="53" customFormat="1" ht="63.75" hidden="1" x14ac:dyDescent="0.25">
      <c r="A112" s="81"/>
      <c r="B112" s="77"/>
      <c r="C112" s="66" t="s">
        <v>147</v>
      </c>
      <c r="D112" s="125">
        <v>542</v>
      </c>
      <c r="E112" s="125">
        <f>'план-график'!K135</f>
        <v>122</v>
      </c>
      <c r="F112" s="127">
        <f>(D112-E112)/D112*100%+100</f>
        <v>100.77490774907749</v>
      </c>
      <c r="G112" s="126" t="str">
        <f>'план-график'!L135</f>
        <v>За первое полугодие 2017 года численность пострадавших в результате несчастных случаев составила 122 человека</v>
      </c>
    </row>
    <row r="113" spans="1:8" ht="38.25" hidden="1" x14ac:dyDescent="0.25">
      <c r="A113" s="81"/>
      <c r="B113" s="77"/>
      <c r="C113" s="66" t="s">
        <v>299</v>
      </c>
      <c r="D113" s="118">
        <v>17000</v>
      </c>
      <c r="E113" s="129">
        <f>'план-график'!K136</f>
        <v>13380</v>
      </c>
      <c r="F113" s="124">
        <f>E113/D113</f>
        <v>0.78705882352941181</v>
      </c>
      <c r="G113" s="110" t="str">
        <f>'план-график'!L136</f>
        <v>За первое полугодие 2017 года специальная оценка условий труда проведена на 13380 рабочих местах</v>
      </c>
    </row>
    <row r="114" spans="1:8" ht="51" hidden="1" x14ac:dyDescent="0.25">
      <c r="A114" s="81"/>
      <c r="B114" s="77"/>
      <c r="C114" s="49" t="s">
        <v>291</v>
      </c>
      <c r="D114" s="17">
        <v>46</v>
      </c>
      <c r="E114" s="142">
        <f>'план-график'!K137</f>
        <v>0</v>
      </c>
      <c r="F114" s="132" t="s">
        <v>29</v>
      </c>
      <c r="G114" s="75">
        <f>'план-график'!L137</f>
        <v>0</v>
      </c>
    </row>
    <row r="115" spans="1:8" ht="51" hidden="1" x14ac:dyDescent="0.25">
      <c r="A115" s="81"/>
      <c r="B115" s="77"/>
      <c r="C115" s="48" t="s">
        <v>292</v>
      </c>
      <c r="D115" s="17">
        <v>37</v>
      </c>
      <c r="E115" s="142">
        <f>'план-график'!K138</f>
        <v>0</v>
      </c>
      <c r="F115" s="132" t="s">
        <v>29</v>
      </c>
      <c r="G115" s="75">
        <f>'план-график'!L138</f>
        <v>0</v>
      </c>
    </row>
    <row r="116" spans="1:8" ht="114.75" hidden="1" x14ac:dyDescent="0.25">
      <c r="A116" s="91" t="s">
        <v>17</v>
      </c>
      <c r="B116" s="77" t="s">
        <v>62</v>
      </c>
      <c r="C116" s="25"/>
      <c r="D116" s="7"/>
      <c r="E116" s="7"/>
      <c r="F116" s="7"/>
      <c r="G116" s="23"/>
    </row>
    <row r="117" spans="1:8" ht="51" hidden="1" x14ac:dyDescent="0.25">
      <c r="A117" s="92" t="s">
        <v>105</v>
      </c>
      <c r="B117" s="58" t="s">
        <v>139</v>
      </c>
    </row>
    <row r="118" spans="1:8" ht="114.75" hidden="1" x14ac:dyDescent="0.25">
      <c r="A118" s="90" t="s">
        <v>19</v>
      </c>
      <c r="B118" s="57" t="s">
        <v>46</v>
      </c>
      <c r="C118" s="25"/>
      <c r="D118" s="19"/>
      <c r="E118" s="19"/>
      <c r="F118" s="19"/>
      <c r="G118" s="18"/>
    </row>
    <row r="119" spans="1:8" ht="25.5" hidden="1" x14ac:dyDescent="0.25">
      <c r="A119" s="56" t="s">
        <v>20</v>
      </c>
      <c r="B119" s="57" t="s">
        <v>44</v>
      </c>
      <c r="C119" s="25"/>
      <c r="D119" s="7"/>
      <c r="E119" s="7"/>
      <c r="F119" s="7"/>
      <c r="G119" s="23"/>
    </row>
    <row r="120" spans="1:8" hidden="1" x14ac:dyDescent="0.25">
      <c r="A120" s="2"/>
      <c r="B120" s="20" t="s">
        <v>165</v>
      </c>
      <c r="C120" s="18"/>
      <c r="D120" s="19"/>
      <c r="E120" s="19"/>
      <c r="F120" s="19"/>
      <c r="G120" s="18"/>
    </row>
    <row r="121" spans="1:8" hidden="1" x14ac:dyDescent="0.25">
      <c r="A121" s="1004" t="s">
        <v>175</v>
      </c>
      <c r="B121" s="1005"/>
      <c r="C121" s="1006"/>
      <c r="D121" s="1006"/>
      <c r="E121" s="1006"/>
      <c r="F121" s="1006"/>
      <c r="G121" s="1007"/>
    </row>
    <row r="122" spans="1:8" s="62" customFormat="1" ht="133.5" hidden="1" customHeight="1" x14ac:dyDescent="0.25">
      <c r="A122" s="78" t="s">
        <v>187</v>
      </c>
      <c r="B122" s="84" t="s">
        <v>141</v>
      </c>
      <c r="C122" s="68" t="s">
        <v>300</v>
      </c>
      <c r="D122" s="135">
        <v>750</v>
      </c>
      <c r="E122" s="129">
        <f>'план-график'!K145</f>
        <v>584</v>
      </c>
      <c r="F122" s="69">
        <f>E122/D122</f>
        <v>0.77866666666666662</v>
      </c>
      <c r="G122" s="136" t="str">
        <f>'план-график'!L145</f>
        <v>Количество прибывших в Ульяновскую область соотечественников за первое полугодие 2017 года составила 584 человека. Программа пользуется популярностью.</v>
      </c>
    </row>
    <row r="123" spans="1:8" s="62" customFormat="1" ht="135.75" hidden="1" customHeight="1" x14ac:dyDescent="0.25">
      <c r="A123" s="61"/>
      <c r="B123" s="67"/>
      <c r="C123" s="68" t="s">
        <v>273</v>
      </c>
      <c r="D123" s="14">
        <v>11</v>
      </c>
      <c r="E123" s="137">
        <f>'план-график'!K147</f>
        <v>24</v>
      </c>
      <c r="F123" s="69">
        <f>E123/D123</f>
        <v>2.1818181818181817</v>
      </c>
      <c r="G123" s="17" t="str">
        <f>'план-график'!L147</f>
        <v>Причина перевыполнения планового показателяв в том, что программа пользуется большой популярностью среди молодёжи. За 1 полугодие в программе приняло участие 83 человека в возрасте до 30 лет от общей численности участников подпрограммы трудоспособного возраста.</v>
      </c>
      <c r="H123" s="70"/>
    </row>
    <row r="124" spans="1:8" ht="51" hidden="1" x14ac:dyDescent="0.25">
      <c r="A124" s="79" t="s">
        <v>188</v>
      </c>
      <c r="B124" s="80" t="s">
        <v>31</v>
      </c>
      <c r="C124" s="8"/>
      <c r="D124" s="7"/>
      <c r="E124" s="7"/>
      <c r="F124" s="7"/>
      <c r="G124" s="23"/>
    </row>
    <row r="125" spans="1:8" hidden="1" x14ac:dyDescent="0.25">
      <c r="A125" s="2"/>
      <c r="B125" s="20" t="s">
        <v>165</v>
      </c>
      <c r="C125" s="21"/>
      <c r="D125" s="22"/>
      <c r="E125" s="22"/>
      <c r="F125" s="22"/>
      <c r="G125" s="21"/>
    </row>
    <row r="126" spans="1:8" x14ac:dyDescent="0.25">
      <c r="A126" s="1004" t="s">
        <v>48</v>
      </c>
      <c r="B126" s="1005"/>
      <c r="C126" s="1005"/>
      <c r="D126" s="1005"/>
      <c r="E126" s="1005"/>
      <c r="F126" s="1005"/>
      <c r="G126" s="1008"/>
    </row>
    <row r="127" spans="1:8" ht="38.25" hidden="1" x14ac:dyDescent="0.25">
      <c r="A127" s="93" t="s">
        <v>108</v>
      </c>
      <c r="B127" s="94" t="s">
        <v>143</v>
      </c>
      <c r="C127" s="97"/>
      <c r="D127" s="97"/>
      <c r="E127" s="97"/>
      <c r="F127" s="97"/>
      <c r="G127" s="98"/>
    </row>
    <row r="128" spans="1:8" s="53" customFormat="1" ht="51" x14ac:dyDescent="0.25">
      <c r="A128" s="121" t="s">
        <v>70</v>
      </c>
      <c r="B128" s="60" t="s">
        <v>271</v>
      </c>
      <c r="C128" s="57" t="s">
        <v>270</v>
      </c>
      <c r="D128" s="59">
        <v>100</v>
      </c>
      <c r="E128" s="63">
        <v>100</v>
      </c>
      <c r="F128" s="24">
        <f>E128/D128</f>
        <v>1</v>
      </c>
      <c r="G128" s="104" t="s">
        <v>304</v>
      </c>
    </row>
    <row r="129" spans="1:7" s="53" customFormat="1" ht="153" hidden="1" x14ac:dyDescent="0.25">
      <c r="A129" s="150"/>
      <c r="B129" s="96" t="s">
        <v>144</v>
      </c>
      <c r="C129" s="57"/>
      <c r="D129" s="64"/>
      <c r="E129" s="63"/>
      <c r="F129" s="24"/>
      <c r="G129" s="57"/>
    </row>
    <row r="130" spans="1:7" s="53" customFormat="1" ht="114.75" hidden="1" x14ac:dyDescent="0.25">
      <c r="A130" s="150"/>
      <c r="B130" s="55" t="s">
        <v>28</v>
      </c>
      <c r="C130" s="57"/>
      <c r="D130" s="64"/>
      <c r="E130" s="63"/>
      <c r="F130" s="24"/>
      <c r="G130" s="57"/>
    </row>
    <row r="131" spans="1:7" s="53" customFormat="1" ht="38.25" hidden="1" x14ac:dyDescent="0.25">
      <c r="A131" s="146"/>
      <c r="B131" s="73" t="s">
        <v>169</v>
      </c>
      <c r="C131" s="57"/>
      <c r="D131" s="64"/>
      <c r="E131" s="63"/>
      <c r="F131" s="24"/>
      <c r="G131" s="57"/>
    </row>
    <row r="132" spans="1:7" s="53" customFormat="1" ht="25.5" hidden="1" x14ac:dyDescent="0.25">
      <c r="A132" s="151"/>
      <c r="B132" s="95" t="s">
        <v>145</v>
      </c>
      <c r="C132" s="57"/>
      <c r="D132" s="64"/>
      <c r="E132" s="63"/>
      <c r="F132" s="24"/>
      <c r="G132" s="57"/>
    </row>
    <row r="133" spans="1:7" ht="119.25" customHeight="1" x14ac:dyDescent="0.25">
      <c r="A133" s="152" t="s">
        <v>105</v>
      </c>
      <c r="B133" s="12" t="s">
        <v>146</v>
      </c>
      <c r="C133" s="57" t="str">
        <f>'план-график'!B163</f>
        <v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v>
      </c>
      <c r="D133" s="140">
        <f>'план-график'!J163</f>
        <v>43.34</v>
      </c>
      <c r="E133" s="143">
        <f>'план-график'!K163</f>
        <v>43.34</v>
      </c>
      <c r="F133" s="153">
        <f>(D133-E133)/D133*100%+100%</f>
        <v>1</v>
      </c>
      <c r="G133" s="104" t="str">
        <f>'план-график'!L163</f>
        <v>Значение целевого индикатора за I полугодие 2017 год составило 100% (целевой индикатор выполнен)</v>
      </c>
    </row>
    <row r="134" spans="1:7" ht="82.5" customHeight="1" x14ac:dyDescent="0.25">
      <c r="A134" s="152" t="s">
        <v>50</v>
      </c>
      <c r="B134" s="12"/>
      <c r="C134" s="57" t="str">
        <f>'план-график'!B164</f>
        <v>Удельный расход тепловой энергии на 1 кв. метр общей площади помещений, занимаемых подведомственными учреждениями, Гкал / кв. м</v>
      </c>
      <c r="D134" s="141">
        <f>'план-график'!J164</f>
        <v>0.115</v>
      </c>
      <c r="E134" s="143">
        <f>'план-график'!K164</f>
        <v>0.115</v>
      </c>
      <c r="F134" s="153">
        <f t="shared" ref="F134:F136" si="0">(D134-E134)/D134*100%+100%</f>
        <v>1</v>
      </c>
      <c r="G134" s="104" t="str">
        <f>'план-график'!L164</f>
        <v>Значение целевого индикатора за I полугодие 2017 год составило 100% (целевой индикатор выполнен)</v>
      </c>
    </row>
    <row r="135" spans="1:7" ht="92.25" customHeight="1" x14ac:dyDescent="0.25">
      <c r="A135" s="152" t="s">
        <v>307</v>
      </c>
      <c r="B135" s="12"/>
      <c r="C135" s="57" t="str">
        <f>'план-график'!B165</f>
        <v>Удельный расход природного газа на 1 кв. метр общей площади помещений, занимаемых подведомственны-ми учреждениями, тыс. куб. м /кв. м</v>
      </c>
      <c r="D135" s="140">
        <f>'план-график'!J165</f>
        <v>9.24</v>
      </c>
      <c r="E135" s="143">
        <f>'план-график'!K165</f>
        <v>9.24</v>
      </c>
      <c r="F135" s="153">
        <f t="shared" si="0"/>
        <v>1</v>
      </c>
      <c r="G135" s="104" t="str">
        <f>'план-график'!L165</f>
        <v>Значение целевого индикатора за I  полугодие 2017 год составило 100% (целевой индикатор выполнен)</v>
      </c>
    </row>
    <row r="136" spans="1:7" ht="83.25" customHeight="1" x14ac:dyDescent="0.25">
      <c r="A136" s="152" t="s">
        <v>308</v>
      </c>
      <c r="B136" s="12"/>
      <c r="C136" s="57" t="str">
        <f>'план-график'!B166</f>
        <v>Удельный расход воды на 1 кв. метр общей площади помещений, занимаемых подведомственными учреждениями, тыс. куб. м /кв. м</v>
      </c>
      <c r="D136" s="141">
        <f>'план-график'!J166</f>
        <v>0.83699999999999997</v>
      </c>
      <c r="E136" s="143">
        <f>'план-график'!K166</f>
        <v>0.83699999999999997</v>
      </c>
      <c r="F136" s="153">
        <f t="shared" si="0"/>
        <v>1</v>
      </c>
      <c r="G136" s="104" t="str">
        <f>'план-график'!L166</f>
        <v>Значение целевого индикатора за I  полугодие 2017 год составило 100% (целевой индикатор выполнен)</v>
      </c>
    </row>
    <row r="138" spans="1:7" ht="15.75" x14ac:dyDescent="0.25">
      <c r="A138" s="999"/>
      <c r="B138" s="999"/>
      <c r="C138" s="999"/>
      <c r="D138" s="999"/>
      <c r="E138" s="999"/>
      <c r="F138" s="999"/>
      <c r="G138" s="999"/>
    </row>
  </sheetData>
  <mergeCells count="11">
    <mergeCell ref="A2:G2"/>
    <mergeCell ref="A3:G3"/>
    <mergeCell ref="A7:G7"/>
    <mergeCell ref="A57:G57"/>
    <mergeCell ref="A138:G138"/>
    <mergeCell ref="D4:F4"/>
    <mergeCell ref="A87:G87"/>
    <mergeCell ref="C67:C83"/>
    <mergeCell ref="A104:G104"/>
    <mergeCell ref="A121:G121"/>
    <mergeCell ref="A126:G126"/>
  </mergeCells>
  <phoneticPr fontId="29" type="noConversion"/>
  <pageMargins left="0.56000000000000005" right="0.22" top="0.21" bottom="0.16" header="0.2" footer="0.16"/>
  <pageSetup paperSize="9" scale="84" fitToHeight="0" orientation="portrait" r:id="rId1"/>
  <rowBreaks count="1" manualBreakCount="1">
    <brk id="12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D6"/>
    </sheetView>
  </sheetViews>
  <sheetFormatPr defaultRowHeight="12.75" x14ac:dyDescent="0.2"/>
  <cols>
    <col min="1" max="1" width="3.5703125" style="666" customWidth="1"/>
    <col min="2" max="2" width="24.7109375" style="666" customWidth="1"/>
    <col min="3" max="3" width="101.5703125" style="666" customWidth="1"/>
    <col min="4" max="4" width="38.28515625" style="666" customWidth="1"/>
    <col min="5" max="16384" width="9.140625" style="666"/>
  </cols>
  <sheetData>
    <row r="1" spans="1:4" x14ac:dyDescent="0.2">
      <c r="D1" s="663" t="s">
        <v>408</v>
      </c>
    </row>
    <row r="2" spans="1:4" x14ac:dyDescent="0.2">
      <c r="A2" s="1009" t="s">
        <v>407</v>
      </c>
      <c r="B2" s="1009"/>
      <c r="C2" s="1009"/>
      <c r="D2" s="1009"/>
    </row>
    <row r="3" spans="1:4" x14ac:dyDescent="0.2">
      <c r="A3" s="1009" t="s">
        <v>409</v>
      </c>
      <c r="B3" s="1009"/>
      <c r="C3" s="1009"/>
      <c r="D3" s="1009"/>
    </row>
    <row r="4" spans="1:4" x14ac:dyDescent="0.2">
      <c r="A4" s="664"/>
    </row>
    <row r="5" spans="1:4" ht="69.75" customHeight="1" x14ac:dyDescent="0.2">
      <c r="A5" s="665" t="s">
        <v>403</v>
      </c>
      <c r="B5" s="665" t="s">
        <v>404</v>
      </c>
      <c r="C5" s="665" t="s">
        <v>405</v>
      </c>
      <c r="D5" s="665" t="s">
        <v>406</v>
      </c>
    </row>
    <row r="6" spans="1:4" ht="409.5" customHeight="1" x14ac:dyDescent="0.2">
      <c r="A6" s="665">
        <v>1</v>
      </c>
      <c r="B6" s="665" t="s">
        <v>410</v>
      </c>
      <c r="C6" s="667" t="s">
        <v>412</v>
      </c>
      <c r="D6" s="665" t="s">
        <v>411</v>
      </c>
    </row>
  </sheetData>
  <mergeCells count="2">
    <mergeCell ref="A2:D2"/>
    <mergeCell ref="A3:D3"/>
  </mergeCells>
  <pageMargins left="0.70866141732283472" right="0.37" top="0.22" bottom="0.16" header="0.22" footer="0.16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финансир</vt:lpstr>
      <vt:lpstr>Целевые индикаторы </vt:lpstr>
      <vt:lpstr>план-график</vt:lpstr>
      <vt:lpstr>Целевые индикаторы для Ольги Ви</vt:lpstr>
      <vt:lpstr>Сведения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'план-график'!Заголовки_для_печати</vt:lpstr>
      <vt:lpstr>финансир!Заголовки_для_печати</vt:lpstr>
      <vt:lpstr>'Целевые индикаторы '!Заголовки_для_печати</vt:lpstr>
      <vt:lpstr>'план-график'!Область_печати</vt:lpstr>
      <vt:lpstr>финансир!Область_печати</vt:lpstr>
      <vt:lpstr>'Целевые индикаторы '!Область_печати</vt:lpstr>
      <vt:lpstr>'Целевые индикаторы для Ольги Ви'!Область_печати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2017-08-07T12:26:37Z</dcterms:modified>
</cp:coreProperties>
</file>